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3680" windowHeight="8475"/>
  </bookViews>
  <sheets>
    <sheet name="OVERALL" sheetId="1" r:id="rId1"/>
    <sheet name="acronyms" sheetId="10" r:id="rId2"/>
    <sheet name="QUICK" sheetId="2" r:id="rId3"/>
    <sheet name="CAPITAL" sheetId="3" r:id="rId4"/>
    <sheet name="BUILDINGS" sheetId="4" r:id="rId5"/>
    <sheet name="OP.TRANSPORT" sheetId="5" r:id="rId6"/>
    <sheet name="GOODS" sheetId="6" r:id="rId7"/>
    <sheet name="COMMUTING" sheetId="7" r:id="rId8"/>
    <sheet name="VISITOR TRANSP" sheetId="8" r:id="rId9"/>
    <sheet name="CALCULATION SHEET" sheetId="9" r:id="rId10"/>
  </sheets>
  <definedNames>
    <definedName name="_ANM1">OP.TRANSPORT!$E$34</definedName>
    <definedName name="_ANM2">OP.TRANSPORT!$F$34</definedName>
    <definedName name="_ANM3">OP.TRANSPORT!$G$34</definedName>
    <definedName name="_ANM4">OP.TRANSPORT!$H$34</definedName>
    <definedName name="_ANM5">OP.TRANSPORT!$I$34</definedName>
    <definedName name="_ANM6">OP.TRANSPORT!$J$34</definedName>
    <definedName name="_ANM7">OP.TRANSPORT!$K$34</definedName>
    <definedName name="_ANM8">OP.TRANSPORT!$L$34</definedName>
    <definedName name="_ANM9">OP.TRANSPORT!$M$34</definedName>
    <definedName name="_CAC2">CAPITAL!$H$23</definedName>
    <definedName name="_CAC3">CAPITAL!$I$23</definedName>
    <definedName name="_CAC4">CAPITAL!$J$23</definedName>
    <definedName name="_CAO2">CAPITAL!$H$24</definedName>
    <definedName name="_CAO3">CAPITAL!$I$24</definedName>
    <definedName name="_CAO4">CAPITAL!$I$24</definedName>
    <definedName name="_CBB2">CAPITAL!$H$21</definedName>
    <definedName name="_CBB3">CAPITAL!$I$21</definedName>
    <definedName name="_CBB4">CAPITAL!$J$21</definedName>
    <definedName name="_CBP2">CAPITAL!$H$19</definedName>
    <definedName name="_CBP3">CAPITAL!$I$19</definedName>
    <definedName name="_CBP4">CAPITAL!$J$19</definedName>
    <definedName name="_CBT2">CAPITAL!$H$20</definedName>
    <definedName name="_CBT3">CAPITAL!$I$20</definedName>
    <definedName name="_CBT4">CAPITAL!$J$20</definedName>
    <definedName name="_CEQ2">CAPITAL!$H$22</definedName>
    <definedName name="_CEQ3">CAPITAL!$I$22</definedName>
    <definedName name="_CEQ4">CAPITAL!$J$22</definedName>
    <definedName name="_COM1">COMMUTING!$D$44</definedName>
    <definedName name="_COM10">COMMUTING!$M$44</definedName>
    <definedName name="_COM2">COMMUTING!$E$44</definedName>
    <definedName name="_COM3">COMMUTING!$F$44</definedName>
    <definedName name="_COM4">COMMUTING!$G$44</definedName>
    <definedName name="_COM5">COMMUTING!$H$44</definedName>
    <definedName name="_COM6">COMMUTING!$I$44</definedName>
    <definedName name="_COM7">COMMUTING!$J$44</definedName>
    <definedName name="_COM8">COMMUTING!$K$44</definedName>
    <definedName name="_COM9">COMMUTING!$L$44</definedName>
    <definedName name="_DWA2">COMMUTING!#REF!</definedName>
    <definedName name="_ELT1">BUILDINGS!$K$23</definedName>
    <definedName name="_MGT1">BUILDINGS!$K$22</definedName>
    <definedName name="_MOD1">COMMUTING!$F$32</definedName>
    <definedName name="_MOD2">COMMUTING!$F$34</definedName>
    <definedName name="_MOD3">COMMUTING!$F$36</definedName>
    <definedName name="_MPG1">OP.TRANSPORT!$E$33</definedName>
    <definedName name="_MPG2">OP.TRANSPORT!$F$33</definedName>
    <definedName name="_MPG3">OP.TRANSPORT!$G$33</definedName>
    <definedName name="_MPG4">OP.TRANSPORT!$H$33</definedName>
    <definedName name="_MPG5">OP.TRANSPORT!$I$33</definedName>
    <definedName name="_MPG6">OP.TRANSPORT!$J$33</definedName>
    <definedName name="_MPG7">OP.TRANSPORT!$K$33</definedName>
    <definedName name="_MPG8">OP.TRANSPORT!$L$33</definedName>
    <definedName name="_MPG9">OP.TRANSPORT!$M$33</definedName>
    <definedName name="_OC1">QUICK!$F$27</definedName>
    <definedName name="_OC2">QUICK!$F$31</definedName>
    <definedName name="_OET1">BUILDINGS!$K$24</definedName>
    <definedName name="_OET2">BUILDINGS!$K$31</definedName>
    <definedName name="_OET3">BUILDINGS!$K$33</definedName>
    <definedName name="_OET4">BUILDINGS!$K$39</definedName>
    <definedName name="_RD11">COMMUTING!$F$33</definedName>
    <definedName name="_RD2">COMMUTING!$F$35</definedName>
    <definedName name="_RD21">COMMUTING!#REF!</definedName>
    <definedName name="_RD3">COMMUTING!$F$37</definedName>
    <definedName name="_TOT1">COMMUTING!$E$47</definedName>
    <definedName name="_TOT2">COMMUTING!$E$48</definedName>
    <definedName name="_VF1">OP.TRANSPORT!$E$32</definedName>
    <definedName name="AEB">QUICK!$F$20</definedName>
    <definedName name="AEBR">QUICK!$I$20</definedName>
    <definedName name="AGB">QUICK!$F$19</definedName>
    <definedName name="AGBR">QUICK!$I$19</definedName>
    <definedName name="ANV">QUICK!$F$29</definedName>
    <definedName name="BGT">BUILDINGS!$K$35</definedName>
    <definedName name="CAC">CAPITAL!$G$23</definedName>
    <definedName name="CAO">CAPITAL!$G$24</definedName>
    <definedName name="CBB">CAPITAL!$G$21</definedName>
    <definedName name="CBP">CAPITAL!$G$19</definedName>
    <definedName name="CBT">CAPITAL!$G$20</definedName>
    <definedName name="CCM">QUICK!$F$26</definedName>
    <definedName name="CEQ">CAPITAL!$G$22</definedName>
    <definedName name="CIT">CAPITAL!$D$33</definedName>
    <definedName name="CMO">QUICK!$F$28</definedName>
    <definedName name="CMOR">QUICK!$I$28</definedName>
    <definedName name="COMR">QUICK!$C$38</definedName>
    <definedName name="COMTOT">COMMUTING!$G$47</definedName>
    <definedName name="CTY">CAPITAL!$D$34</definedName>
    <definedName name="CVGN">'VISITOR TRANSP'!$H$54</definedName>
    <definedName name="DWA">COMMUTING!$F$38</definedName>
    <definedName name="ECVI">'VISITOR TRANSP'!$H$56</definedName>
    <definedName name="EMF">OP.TRANSPORT!$E$35</definedName>
    <definedName name="EMFD">OP.TRANSPORT!$I$35</definedName>
    <definedName name="EMFO">OP.TRANSPORT!$M$35</definedName>
    <definedName name="EPI">'VISITOR TRANSP'!$H$48</definedName>
    <definedName name="EPM">'VISITOR TRANSP'!$H$38</definedName>
    <definedName name="ETC">QUICK!$F$32</definedName>
    <definedName name="ETP">QUICK!$F$33</definedName>
    <definedName name="FOT">BUILDINGS!$K$36</definedName>
    <definedName name="GNO">'VISITOR TRANSP'!$H$36</definedName>
    <definedName name="GTOT">GOODS!$F$31</definedName>
    <definedName name="GTTL">OVERALL!$K$62</definedName>
    <definedName name="LBL">OP.TRANSPORT!$H$46</definedName>
    <definedName name="LBLE">OP.TRANSPORT!$K$46</definedName>
    <definedName name="LBLF">OP.TRANSPORT!$J$46</definedName>
    <definedName name="LDB">OP.TRANSPORT!$H$47</definedName>
    <definedName name="LDBE">OP.TRANSPORT!$K$47</definedName>
    <definedName name="LDBF">OP.TRANSPORT!$J$47</definedName>
    <definedName name="LDT">OP.TRANSPORT!$H$45</definedName>
    <definedName name="LDTE">OP.TRANSPORT!$K$45</definedName>
    <definedName name="LDTF">OP.TRANSPORT!$J$45</definedName>
    <definedName name="LHF">OP.TRANSPORT!$H$52</definedName>
    <definedName name="LHFE">OP.TRANSPORT!$K$52</definedName>
    <definedName name="LHFF">OP.TRANSPORT!$J$52</definedName>
    <definedName name="LPGT">BUILDINGS!$K$37</definedName>
    <definedName name="LTL">OP.TRANSPORT!$H$44</definedName>
    <definedName name="LTLE">OP.TRANSPORT!$K$44</definedName>
    <definedName name="LTLF">OP.TRANSPORT!$J$44</definedName>
    <definedName name="MCV">QUICK!$F$21</definedName>
    <definedName name="MCVR">QUICK!$I$21</definedName>
    <definedName name="MHF">OP.TRANSPORT!$H$51</definedName>
    <definedName name="MHFE">OP.TRANSPORT!$K$51</definedName>
    <definedName name="MHFF">OP.TRANSPORT!$J$51</definedName>
    <definedName name="MOD1R">COMMUTING!$G$32</definedName>
    <definedName name="MOD2R">COMMUTING!$G$34</definedName>
    <definedName name="MOD3R">COMMUTING!$G$36</definedName>
    <definedName name="MVT">OP.TRANSPORT!$K$18</definedName>
    <definedName name="NBC">'VISITOR TRANSP'!$H$26</definedName>
    <definedName name="NBCC">'VISITOR TRANSP'!$H$28</definedName>
    <definedName name="NBOM">'VISITOR TRANSP'!$H$29</definedName>
    <definedName name="NBPT">'VISITOR TRANSP'!$H$27</definedName>
    <definedName name="OPER">QUICK!$C$36</definedName>
    <definedName name="OPTR">QUICK!$C$37</definedName>
    <definedName name="OSF">OP.TRANSPORT!$K$16</definedName>
    <definedName name="OST">OP.TRANSPORT!$K$13</definedName>
    <definedName name="OVT">OP.TRANSPORT!$K$38</definedName>
    <definedName name="PBC">QUICK!$F$30</definedName>
    <definedName name="PCF">QUICK!$C$41</definedName>
    <definedName name="_xlnm.Print_Area" localSheetId="2">QUICK!$A$1:$P$49</definedName>
    <definedName name="RTM">'VISITOR TRANSP'!$H$37</definedName>
    <definedName name="RTMC">'VISITOR TRANSP'!$H$55</definedName>
    <definedName name="RTMP">'VISITOR TRANSP'!$H$47</definedName>
    <definedName name="SACV">'CALCULATION SHEET'!$K$24</definedName>
    <definedName name="SAPH">'CALCULATION SHEET'!$K$16</definedName>
    <definedName name="SAPT">'CALCULATION SHEET'!$K$20</definedName>
    <definedName name="SBL">BUILDINGS!$K$13</definedName>
    <definedName name="SHF">OP.TRANSPORT!$H$50</definedName>
    <definedName name="SHFE">OP.TRANSPORT!$K$50</definedName>
    <definedName name="SHFF">OP.TRANSPORT!$J$50</definedName>
    <definedName name="SPE">'VISITOR TRANSP'!$J$54</definedName>
    <definedName name="TAF">OP.TRANSPORT!$K$54</definedName>
    <definedName name="TCM">QUICK!$F$26</definedName>
    <definedName name="TCMI">QUICK!$I$26</definedName>
    <definedName name="TCMR">QUICK!$I$27</definedName>
    <definedName name="TFA">BUILDINGS!$K$10</definedName>
    <definedName name="TOTE">OP.TRANSPORT!$H$56</definedName>
    <definedName name="TOTR">QUICK!$I$25</definedName>
    <definedName name="TOTVT">'VISITOR TRANSP'!$H$59</definedName>
    <definedName name="TSPT">OP.TRANSPORT!$K$48</definedName>
    <definedName name="TVTR">QUICK!$C$39</definedName>
    <definedName name="VLHF">OP.TRANSPORT!$H$53</definedName>
    <definedName name="VLHFE">OP.TRANSPORT!$K$53</definedName>
    <definedName name="VLHFF">OP.TRANSPORT!$J$53</definedName>
    <definedName name="VTCR">QUICK!$I$32</definedName>
    <definedName name="VTPR">QUICK!$I$33</definedName>
    <definedName name="WTA">QUICK!$F$24</definedName>
    <definedName name="WTAR">QUICK!$I$24</definedName>
    <definedName name="WTC">QUICK!$F$22</definedName>
    <definedName name="WTCR">QUICK!$I$22</definedName>
    <definedName name="WTP">QUICK!$F$23</definedName>
    <definedName name="WTPR">QUICK!$I$23</definedName>
    <definedName name="Z_5DDB5E46_F5AF_4025_A0A8_B64361C1F352_.wvu.PrintArea" localSheetId="2" hidden="1">QUICK!$A$1:$P$49</definedName>
    <definedName name="Z_7F8786F5_02F7_433D_98AC_0C6AE08AD9EF_.wvu.PrintArea" localSheetId="2" hidden="1">QUICK!$A$1:$P$49</definedName>
  </definedNames>
  <calcPr calcId="144525"/>
  <customWorkbookViews>
    <customWorkbookView name="Peter Harper - Personal View" guid="{5DDB5E46-F5AF-4025-A0A8-B64361C1F352}" mergeInterval="0" personalView="1" maximized="1" windowWidth="1362" windowHeight="517" activeSheetId="1"/>
    <customWorkbookView name="Harper - Personal View" guid="{7F8786F5-02F7-433D-98AC-0C6AE08AD9EF}" mergeInterval="0" personalView="1" xWindow="38" yWindow="30" windowWidth="900" windowHeight="538" activeSheetId="9" showComments="commIndAndComment"/>
  </customWorkbookViews>
</workbook>
</file>

<file path=xl/calcChain.xml><?xml version="1.0" encoding="utf-8"?>
<calcChain xmlns="http://schemas.openxmlformats.org/spreadsheetml/2006/main">
  <c r="U38" i="1" l="1"/>
  <c r="W37" i="1"/>
  <c r="U37" i="1"/>
  <c r="W36" i="1"/>
  <c r="U36" i="1"/>
  <c r="W35" i="1"/>
  <c r="U35" i="1"/>
  <c r="W34" i="1"/>
  <c r="U34" i="1"/>
  <c r="W33" i="1"/>
  <c r="W38" i="1" s="1"/>
  <c r="U33" i="1"/>
  <c r="U23" i="1"/>
  <c r="K62" i="1"/>
  <c r="K63" i="1" s="1"/>
  <c r="I72" i="1"/>
  <c r="K72" i="1"/>
  <c r="I73" i="1"/>
  <c r="K73" i="1"/>
  <c r="I74" i="1"/>
  <c r="K74" i="1"/>
  <c r="I75" i="1"/>
  <c r="K75" i="1"/>
  <c r="I76" i="1"/>
  <c r="K76" i="1"/>
  <c r="I77" i="1"/>
  <c r="K77" i="1"/>
  <c r="G46" i="9"/>
  <c r="K24" i="9" s="1"/>
  <c r="B67" i="9"/>
  <c r="K16" i="9" s="1"/>
  <c r="H59" i="8" s="1"/>
  <c r="D70" i="9"/>
  <c r="K20" i="9" s="1"/>
  <c r="H42" i="8"/>
  <c r="H48" i="8"/>
  <c r="J54" i="8"/>
  <c r="H56" i="8" s="1"/>
  <c r="G32" i="7"/>
  <c r="G34" i="7"/>
  <c r="G36" i="7"/>
  <c r="F40" i="7" s="1"/>
  <c r="E47" i="7"/>
  <c r="G47" i="7" s="1"/>
  <c r="F31" i="6"/>
  <c r="K18" i="5"/>
  <c r="E36" i="5"/>
  <c r="F36" i="5"/>
  <c r="G36" i="5"/>
  <c r="H36" i="5"/>
  <c r="I36" i="5"/>
  <c r="J36" i="5"/>
  <c r="K36" i="5"/>
  <c r="L36" i="5"/>
  <c r="M36" i="5"/>
  <c r="N36" i="5" s="1"/>
  <c r="K38" i="5"/>
  <c r="K44" i="5"/>
  <c r="K45" i="5"/>
  <c r="K48" i="5" s="1"/>
  <c r="K46" i="5"/>
  <c r="K47" i="5"/>
  <c r="K50" i="5"/>
  <c r="K51" i="5"/>
  <c r="K52" i="5"/>
  <c r="K53" i="5"/>
  <c r="K54" i="5"/>
  <c r="K24" i="4"/>
  <c r="K33" i="4" s="1"/>
  <c r="K39" i="4" s="1"/>
  <c r="G26" i="3"/>
  <c r="H26" i="3"/>
  <c r="D33" i="3" s="1"/>
  <c r="D34" i="3" s="1"/>
  <c r="I26" i="3"/>
  <c r="J26" i="3"/>
  <c r="G27" i="3"/>
  <c r="H27" i="3"/>
  <c r="I27" i="3"/>
  <c r="J27" i="3"/>
  <c r="G28" i="3"/>
  <c r="H28" i="3"/>
  <c r="I28" i="3"/>
  <c r="J28" i="3"/>
  <c r="G29" i="3"/>
  <c r="H29" i="3"/>
  <c r="I29" i="3"/>
  <c r="J29" i="3"/>
  <c r="G30" i="3"/>
  <c r="H30" i="3"/>
  <c r="I30" i="3"/>
  <c r="J30" i="3"/>
  <c r="G31" i="3"/>
  <c r="H31" i="3"/>
  <c r="I31" i="3"/>
  <c r="J31" i="3"/>
  <c r="I19" i="2"/>
  <c r="I20" i="2"/>
  <c r="C36" i="2" s="1"/>
  <c r="I21" i="2"/>
  <c r="I22" i="2"/>
  <c r="I25" i="2" s="1"/>
  <c r="C37" i="2" s="1"/>
  <c r="I23" i="2"/>
  <c r="I24" i="2"/>
  <c r="I26" i="2"/>
  <c r="I27" i="2" s="1"/>
  <c r="C38" i="2" s="1"/>
  <c r="I28" i="2"/>
  <c r="I32" i="2"/>
  <c r="I33" i="2"/>
  <c r="C39" i="2"/>
  <c r="U24" i="1" l="1"/>
  <c r="U26" i="1"/>
  <c r="K66" i="1"/>
  <c r="U25" i="1"/>
  <c r="U27" i="1"/>
  <c r="K64" i="1"/>
  <c r="K65" i="1"/>
  <c r="C41" i="2"/>
  <c r="H56" i="5"/>
  <c r="C45" i="2" l="1"/>
  <c r="C42" i="2"/>
</calcChain>
</file>

<file path=xl/comments1.xml><?xml version="1.0" encoding="utf-8"?>
<comments xmlns="http://schemas.openxmlformats.org/spreadsheetml/2006/main">
  <authors>
    <author>LCC</author>
  </authors>
  <commentList>
    <comment ref="H47" authorId="0" guid="{7894C978-9D60-46E3-98DD-72BCF32D472B}">
      <text>
        <r>
          <rPr>
            <b/>
            <sz val="9"/>
            <color indexed="81"/>
            <rFont val="Tahoma"/>
            <charset val="1"/>
          </rPr>
          <t>Too high! Many visitors are local. Data from elsewhere sugests a 100 mile return trip might be closer</t>
        </r>
      </text>
    </comment>
  </commentList>
</comments>
</file>

<file path=xl/sharedStrings.xml><?xml version="1.0" encoding="utf-8"?>
<sst xmlns="http://schemas.openxmlformats.org/spreadsheetml/2006/main" count="586" uniqueCount="422">
  <si>
    <t>ELECTRICITY</t>
  </si>
  <si>
    <t>HEATING AND ELECTRICITY</t>
  </si>
  <si>
    <t>OPERATIONAL EMISSIONS</t>
  </si>
  <si>
    <t>OPERATIONAL TRANSPORT</t>
  </si>
  <si>
    <t>VISITOR TRANSPORT</t>
  </si>
  <si>
    <t>STAFF COMMUTING</t>
  </si>
  <si>
    <t>DAYS PER YEAR</t>
  </si>
  <si>
    <t>MODE 1</t>
  </si>
  <si>
    <t>MODE 2</t>
  </si>
  <si>
    <t>RETURN DISTANCE</t>
  </si>
  <si>
    <t>STAFF MEMBER NO.</t>
  </si>
  <si>
    <t>MODE 3</t>
  </si>
  <si>
    <t>VEHICLE NO:</t>
  </si>
  <si>
    <t>IT WOULD HELP TO TAKE SOME SAMPLE DAYS AT DIFFERENT TIMES OF THE YEAR AND ASK VISITORS IN SOME DETAIL</t>
  </si>
  <si>
    <t>TRAIN</t>
  </si>
  <si>
    <t>BUS</t>
  </si>
  <si>
    <t>WALK</t>
  </si>
  <si>
    <t>BIKE</t>
  </si>
  <si>
    <t>QUICK AND DIRTY VERSION</t>
  </si>
  <si>
    <t>ANNUAL NUMBER OF VISITORS</t>
  </si>
  <si>
    <t>MILEAGE OF ALL COMPANY VEHICLES</t>
  </si>
  <si>
    <t>CAPITAL INVESTMENT</t>
  </si>
  <si>
    <t xml:space="preserve">LIKELY INVESTMENTS ARE IN </t>
  </si>
  <si>
    <t>BUILDINGS</t>
  </si>
  <si>
    <t>EQUIPMENT</t>
  </si>
  <si>
    <t>ACCESSIONS</t>
  </si>
  <si>
    <t>1000g/£</t>
  </si>
  <si>
    <t>200g/£</t>
  </si>
  <si>
    <t>100g/£</t>
  </si>
  <si>
    <t>other</t>
  </si>
  <si>
    <t>500g/£</t>
  </si>
  <si>
    <t>PRESTIGE</t>
  </si>
  <si>
    <t>WORKADAY</t>
  </si>
  <si>
    <t>BASIC</t>
  </si>
  <si>
    <t>MCV</t>
  </si>
  <si>
    <t>10P/kWh</t>
  </si>
  <si>
    <t>AGB</t>
  </si>
  <si>
    <t>OC1</t>
  </si>
  <si>
    <t>CMO</t>
  </si>
  <si>
    <t>ANV</t>
  </si>
  <si>
    <t>PBC</t>
  </si>
  <si>
    <t>OC2</t>
  </si>
  <si>
    <t>CBP</t>
  </si>
  <si>
    <t>CBT</t>
  </si>
  <si>
    <t>CBB</t>
  </si>
  <si>
    <t>CEQ</t>
  </si>
  <si>
    <t>CAC</t>
  </si>
  <si>
    <t>CAO</t>
  </si>
  <si>
    <t>AEB</t>
  </si>
  <si>
    <t>AVERAGE NO OF PEOPLE IN CAR</t>
  </si>
  <si>
    <t>2p/kWh</t>
  </si>
  <si>
    <t>AGBR</t>
  </si>
  <si>
    <t>AEBR</t>
  </si>
  <si>
    <t>MCVR</t>
  </si>
  <si>
    <t>TCM</t>
  </si>
  <si>
    <t>TCMR</t>
  </si>
  <si>
    <t>TCMI</t>
  </si>
  <si>
    <t>TOTAL COMMUTING MILEAGE BY OTHER MODES</t>
  </si>
  <si>
    <t>100g/m</t>
  </si>
  <si>
    <t>CMOR</t>
  </si>
  <si>
    <t>ESTIMATED AVERAGE TRAVEL DISTANCE FOR CARS (RETURN)</t>
  </si>
  <si>
    <t>ESTIMATED AVERAGE TRAVEL DISTANCE FOR NON-CAR (RETURN)</t>
  </si>
  <si>
    <t>ETC</t>
  </si>
  <si>
    <t>ETP</t>
  </si>
  <si>
    <t>WHAT PROPORTION COME BY CAR (PERCENT)?</t>
  </si>
  <si>
    <t>200g/m</t>
  </si>
  <si>
    <t>50g/m</t>
  </si>
  <si>
    <t>VTCR</t>
  </si>
  <si>
    <t>VTPR</t>
  </si>
  <si>
    <t>PRELIMINARY RESULTS</t>
  </si>
  <si>
    <t>OPERATIONAL ENERGY</t>
  </si>
  <si>
    <t>COMMUTING</t>
  </si>
  <si>
    <t>OPER</t>
  </si>
  <si>
    <t>OPTR</t>
  </si>
  <si>
    <t>COMR</t>
  </si>
  <si>
    <t>TVTR</t>
  </si>
  <si>
    <t>OTHER WORK JOURNEYS BY SURFACE TRANSPORT</t>
  </si>
  <si>
    <t>OTHER WORK JOURNEYS BY AIR</t>
  </si>
  <si>
    <t>WTC</t>
  </si>
  <si>
    <t>WTP</t>
  </si>
  <si>
    <t>WTA</t>
  </si>
  <si>
    <t>OTHER WORK JOURNEYS BY PRIVATE CAR, TOTAL DISTANCE</t>
  </si>
  <si>
    <t>300g/m</t>
  </si>
  <si>
    <t>WTCR</t>
  </si>
  <si>
    <t>WTPR</t>
  </si>
  <si>
    <t>WTAR</t>
  </si>
  <si>
    <t>TOTAL OPERATIONAL TRANSPORT</t>
  </si>
  <si>
    <t>TOTR</t>
  </si>
  <si>
    <t>ANNUAL ELECTRICITY BILL, £</t>
  </si>
  <si>
    <t>SEE HOW ACCURATE YOU ARE AT THIS STAGE</t>
  </si>
  <si>
    <t>YOUR PRELIMINARY CARBON FOOTPRINT</t>
  </si>
  <si>
    <t>PCF</t>
  </si>
  <si>
    <t>EMISSIONS PER VISITOR</t>
  </si>
  <si>
    <t>EPV</t>
  </si>
  <si>
    <t>kg per visitor</t>
  </si>
  <si>
    <t>ANNUAL REVENUE EXPENDITURE FOR THE TARGET YEAR</t>
  </si>
  <si>
    <t>NO. OF FULL-TIME STAFF EQUIVALENT</t>
  </si>
  <si>
    <t>CIT</t>
  </si>
  <si>
    <t>THE METRIC IS £: HOW MUCH WAS SPENT IN THE VARIOUS CATEGORIES?</t>
  </si>
  <si>
    <t>OPERATIONAL MATERIAL CONSUMPTION</t>
  </si>
  <si>
    <t>THIS IS DIFFICULT TO ASSESS BUT SOME EFFORT SHOULD BE MADE</t>
  </si>
  <si>
    <t>BROADLY SPEAKING 'STUFF' EMITS BETWEEN 400g AND 800g PER POUND SPENT</t>
  </si>
  <si>
    <t>SO YOU CAN GET A ROUGH ESTIMATE FROM THE ACCOUNTS</t>
  </si>
  <si>
    <t>WHAT IS SPENT ON MATERIALS, OFFICE AND OTHER CONSUMABLES?</t>
  </si>
  <si>
    <t>PAPER IS CONSIDERABLY MORE -- 1000-1500g</t>
  </si>
  <si>
    <t>THIS WOULD INCLUDE REPLACEMENT ELECTRICAL EQUIPMENT, FURNITURE ETC PAID FOR OUT OF THE REVENUE BUDGET</t>
  </si>
  <si>
    <t>NONE</t>
  </si>
  <si>
    <t>RD3:</t>
  </si>
  <si>
    <t>RD2:</t>
  </si>
  <si>
    <t>RD11:</t>
  </si>
  <si>
    <t>MOD1:</t>
  </si>
  <si>
    <t>DWA:</t>
  </si>
  <si>
    <t xml:space="preserve">COMMUTING EMISSIONS FOR THIS CASE: </t>
  </si>
  <si>
    <t>SELECT MODES FROM DROP-DOWN MENUS IN YELLOW BOXES</t>
  </si>
  <si>
    <t>ENTER 'DAYS WORKED PER YEAR' (I.E. NUMBER OF RETURN TRIPS) IN THE GREY BOX</t>
  </si>
  <si>
    <t>TYPE EACH OF THESE RESULTS  IN THE PINK BOXES</t>
  </si>
  <si>
    <t>THE INDIVIDUAL RESULT APPEARS IN THE TURQUOISE BOX</t>
  </si>
  <si>
    <t>COMMUTING EMISSIONS TOTAL</t>
  </si>
  <si>
    <t>ENTER RETURN DISTANCE FOR THAT MODE IN LIGHT BLUE BOXES</t>
  </si>
  <si>
    <t>TYPE THIS EXTRA RESULT INTO THE ORANGE BOX</t>
  </si>
  <si>
    <t xml:space="preserve">THE TOTAL WILL APPEAR IN THE BLUE BOX </t>
  </si>
  <si>
    <t>YOU MIGHT WELL DECIDE THIS IS 'NOT YOUR PROBLEM' SO THE SECTION IS OPTIONAL</t>
  </si>
  <si>
    <t>REMEMBER THE 'GARBAGE IN, GARBAGE OUT' RULE: THE VALIDITY OF THE RESULTS WILL DEPEND ON THE QUALITY OF DATA YOU PUT IN</t>
  </si>
  <si>
    <t>ON AVERAGE, HOW MANY IN THE PARTIES THAT COME BY CAR?</t>
  </si>
  <si>
    <t>YOU ALREADY HAVE A ROUGH IDEA OF THE VISITOR TRANSPORT FIGURES FROM THE 'QUICK' ANALYSIS</t>
  </si>
  <si>
    <t>YOU CAN IMPROVE ON THIS BY LOOKING MORE CAREFULLY AT YOUR STATISTICS AND VISITOR FEEDBACK FORMS</t>
  </si>
  <si>
    <t>ONCE YOU ARE CONFIDENT THAT THESE SAMPLES DO REFLECT YOUR VISITOR PROFILE AS A WHOLE, YOU WILL BE ABLE TO USE THE DATA IN THE FUTURE</t>
  </si>
  <si>
    <t>ANNUAL GAS OR OIL BILL, £</t>
  </si>
  <si>
    <t>HEATING</t>
  </si>
  <si>
    <t>OXFORD</t>
  </si>
  <si>
    <t>ROVER 218 TURBO</t>
  </si>
  <si>
    <t>DIESEL</t>
  </si>
  <si>
    <t>NUMBER OF  VISITORS IN THE TARGET YEAR</t>
  </si>
  <si>
    <t>ADD THE kWh TOTALS FOR EACH MONTH AND ENTER THE ANNUAL TOTALS INTO THE YELLOW BOXES</t>
  </si>
  <si>
    <t>MAINS GAS ANNUAL KWH</t>
  </si>
  <si>
    <t>ELECTRICITY ANNUAL KWH</t>
  </si>
  <si>
    <t>MGT1</t>
  </si>
  <si>
    <t>ELT1</t>
  </si>
  <si>
    <t>OET1</t>
  </si>
  <si>
    <t>OET2</t>
  </si>
  <si>
    <t>BGT</t>
  </si>
  <si>
    <t>LPGT</t>
  </si>
  <si>
    <t>FOT</t>
  </si>
  <si>
    <t>YES</t>
  </si>
  <si>
    <t>NO</t>
  </si>
  <si>
    <t xml:space="preserve">HAS THE MUSEUM A SINGLE GAS ACCOUNT AND A SINGLE ELECTRICITY ACCOUNT? </t>
  </si>
  <si>
    <t>SBL</t>
  </si>
  <si>
    <t>OET3</t>
  </si>
  <si>
    <t>OET4</t>
  </si>
  <si>
    <t>TFA</t>
  </si>
  <si>
    <t>WHAT IS THE TOTAL FLOOR AREA OF HEATED BUILDINGS IN SQUARE METRES?</t>
  </si>
  <si>
    <t>FUEL TYPE</t>
  </si>
  <si>
    <t>PETROL</t>
  </si>
  <si>
    <t>ENTER THE NUMBER OF LITRES PER YEAR HERE IN THE YELLOW BOX</t>
  </si>
  <si>
    <t>OST</t>
  </si>
  <si>
    <t>OSF</t>
  </si>
  <si>
    <t>MPG FOR THIS VEHICLE</t>
  </si>
  <si>
    <t>EMISSIONS FACTOR</t>
  </si>
  <si>
    <t>EMISSIONS</t>
  </si>
  <si>
    <t>ANNUAL MILEAGE ON MUSEUM BUSINESS</t>
  </si>
  <si>
    <t>TRIPS BY PUBLIC TRANSPORT ON BEHALF OF THE MUSEUM</t>
  </si>
  <si>
    <t>LENGTH OF TRIPS BY LOCAL TRAIN</t>
  </si>
  <si>
    <t>LENGTH OF TRIPS BY LONG-DISTANCE TRAIN</t>
  </si>
  <si>
    <t>LENGTH OF TRIPS BY LOCAL BUS</t>
  </si>
  <si>
    <t>LENGTH OF TRIPS BY LONG-DISTANCE BUS OR COACH</t>
  </si>
  <si>
    <t>NUMBER OF SHORT-HAUL FLIGHTS LESS THAN 500 MILES ONE WAY</t>
  </si>
  <si>
    <t>NUMBER OF FLIGHTS 500-2000 MILES ONE WAY</t>
  </si>
  <si>
    <t>NUMBER OF FLIGHTS 2000-8000 MILES ONE WAY</t>
  </si>
  <si>
    <t>NUMBER OF FLIGHTS OVER 8000 MILES ONE WAY</t>
  </si>
  <si>
    <t>LTL</t>
  </si>
  <si>
    <t>LDT</t>
  </si>
  <si>
    <t>LBL</t>
  </si>
  <si>
    <t>LDB</t>
  </si>
  <si>
    <t>SHF</t>
  </si>
  <si>
    <t>MHF</t>
  </si>
  <si>
    <t>LHF</t>
  </si>
  <si>
    <t>VLHF</t>
  </si>
  <si>
    <t>OPERATIONAL TRANSPORT FOR THE TARGET YEAR</t>
  </si>
  <si>
    <t>TOTAL FOR SURFACE PUBLIC TRANSPORT</t>
  </si>
  <si>
    <t>TOTAL FOR AIR FLIGHTS</t>
  </si>
  <si>
    <t>TSPT</t>
  </si>
  <si>
    <t>TAF</t>
  </si>
  <si>
    <t>THERE ARE NO 'RIGHT ANSWERS'.</t>
  </si>
  <si>
    <t>ARV</t>
  </si>
  <si>
    <t>STN</t>
  </si>
  <si>
    <t>CTY</t>
  </si>
  <si>
    <t>BULK GAS LITRES</t>
  </si>
  <si>
    <t>FUEL OIL LITRES</t>
  </si>
  <si>
    <t>BOTTLED GAS KILOGRAMS</t>
  </si>
  <si>
    <t>SO DIRECT EMISSIONS ARISING FROM MUSEUM VEHICLES IS</t>
  </si>
  <si>
    <t>OTHER VEHICLES OPERATED BY OR ON BEHALF OF THE MUSEUM WITHOUT FUEL RECORDS</t>
  </si>
  <si>
    <t>MVT</t>
  </si>
  <si>
    <t>TOTAL OPERATIONAL TRANSPORT EMISSIONS:</t>
  </si>
  <si>
    <t>TOTAL FROM OTHER VEHICLES</t>
  </si>
  <si>
    <t>OVT</t>
  </si>
  <si>
    <t>VISITORS TRAVELLING BY CAR</t>
  </si>
  <si>
    <t>GNO</t>
  </si>
  <si>
    <t>RTM</t>
  </si>
  <si>
    <t>EPM</t>
  </si>
  <si>
    <t>MAKE, YEAR, FUEL AND MODEL OF CAR</t>
  </si>
  <si>
    <t>EMISSIONS PER HEAD</t>
  </si>
  <si>
    <t>IF YOU HAVE NO VEHICLE DATA INSERT 0.38</t>
  </si>
  <si>
    <t>EHI</t>
  </si>
  <si>
    <t>RESULT 1</t>
  </si>
  <si>
    <t>RESULT2</t>
  </si>
  <si>
    <t>RESULT3</t>
  </si>
  <si>
    <t xml:space="preserve">TOTAL COMMUTING MILEAGE BY CAR </t>
  </si>
  <si>
    <t xml:space="preserve">WHAT IS THE TOTAL NUMBER OF VISITORS IN THE TARGET YEAR? </t>
  </si>
  <si>
    <t>OF THESE, HOW MANY CAME BY CAR?</t>
  </si>
  <si>
    <t>HOW MANY BY TRAIN OR BUS?</t>
  </si>
  <si>
    <t>HOW MANY IN CHARTERED COACHES OR MINIBUSES?</t>
  </si>
  <si>
    <t>HOW MANY BY OTHER MODES?</t>
  </si>
  <si>
    <t>TVNT</t>
  </si>
  <si>
    <t>NBC</t>
  </si>
  <si>
    <t>NBPT</t>
  </si>
  <si>
    <t>NBCC</t>
  </si>
  <si>
    <t>NBOM</t>
  </si>
  <si>
    <t>SAPH</t>
  </si>
  <si>
    <t>example</t>
  </si>
  <si>
    <t>VISITORS TRAVELLING BY PUBLIC TRANSPORT</t>
  </si>
  <si>
    <t>TRAVELLING FROM?</t>
  </si>
  <si>
    <t>RTMP</t>
  </si>
  <si>
    <t>COMTOT</t>
  </si>
  <si>
    <t>EPI</t>
  </si>
  <si>
    <t>CAR, SINGLE OCCUPANT</t>
  </si>
  <si>
    <t>CAR, 2+OCC</t>
  </si>
  <si>
    <t>MODES</t>
  </si>
  <si>
    <t>VISITORS TRAVELLING BY CHARTERED VEHICLES</t>
  </si>
  <si>
    <t>RTMC</t>
  </si>
  <si>
    <t>INDIVIDUALS TRAVELLING FROM?</t>
  </si>
  <si>
    <t>CVGN</t>
  </si>
  <si>
    <t>HOW MANY IN THE VEHICLE?</t>
  </si>
  <si>
    <t>ECVI</t>
  </si>
  <si>
    <t>SPE</t>
  </si>
  <si>
    <t>CAR:</t>
  </si>
  <si>
    <t>PUBLIC TRANSPORT:</t>
  </si>
  <si>
    <t>SAPT</t>
  </si>
  <si>
    <t>GROUPS IN CHARTERED VEHICLES:</t>
  </si>
  <si>
    <t>…</t>
  </si>
  <si>
    <t>SACV</t>
  </si>
  <si>
    <t>YOU WILL NEED TO HAVE AT LEAST A ROUGH IDEA OF THE PROPRTIONS OF VISITORS TRAVELLING BY DIFFERENT MODES</t>
  </si>
  <si>
    <t>TOTVT</t>
  </si>
  <si>
    <t>TOTAL EMISSIONS ATTRIBUTABLE TO VISITOR TRAVEL</t>
  </si>
  <si>
    <t>THIS SECTION NEEDS FURTHER DEVELOPMENT</t>
  </si>
  <si>
    <t>TOTE</t>
  </si>
  <si>
    <t>THE TOTAL EMISSIONS FROM THE LONG CALCULATOR WILL APPEAR HERE:</t>
  </si>
  <si>
    <t>GTTL</t>
  </si>
  <si>
    <t>second draft version</t>
  </si>
  <si>
    <t>RURAL MUSEUMS CARBON CALCULATOR</t>
  </si>
  <si>
    <t>Calculators like this can never be entirely accurate but can give helpful indications</t>
  </si>
  <si>
    <t>This one works on the basis of easily available data and informed estimates</t>
  </si>
  <si>
    <t>It does require a certain amount of intelligence and a basic understanding of the principles</t>
  </si>
  <si>
    <t>Different parts of the calculator are accessed through the labelled tabs at the bottom of the spreadsheet page:</t>
  </si>
  <si>
    <t>Make sure you visit all the tabs by clicking the control tab at bottom left</t>
  </si>
  <si>
    <t>Preliminary Notes - Read this first</t>
  </si>
  <si>
    <t>You might wish to include staff commuting , at least by way of comparison</t>
  </si>
  <si>
    <t>The calulator also covers emmisions associated with museum users and visitors</t>
  </si>
  <si>
    <t>Although these are not strictly part of the museum's emmisions, the comparison is often instructive</t>
  </si>
  <si>
    <t>Results will vary from year to year depending on special events and capital investment</t>
  </si>
  <si>
    <t>Another option is to take an average of several years</t>
  </si>
  <si>
    <t>Your final score will not mean much unless it is related to some scale factor such as visitor numbers, annual budget or staff numbers</t>
  </si>
  <si>
    <t>The results are best used to compare one year with another and suggest the most appropriate means for improvement</t>
  </si>
  <si>
    <t>Here are some of the scale factors thast you will need.  Put the numbers in the yellow box before you start</t>
  </si>
  <si>
    <r>
      <t xml:space="preserve">The </t>
    </r>
    <r>
      <rPr>
        <b/>
        <sz val="10"/>
        <rFont val="Tahoma"/>
        <family val="2"/>
      </rPr>
      <t>TOTAL CARBON FOOTPRINT</t>
    </r>
    <r>
      <rPr>
        <sz val="10"/>
        <rFont val="Tahoma"/>
        <family val="2"/>
      </rPr>
      <t xml:space="preserve"> will vary depending on where you draw the boundaries</t>
    </r>
  </si>
  <si>
    <r>
      <t xml:space="preserve">The </t>
    </r>
    <r>
      <rPr>
        <b/>
        <sz val="10"/>
        <rFont val="Tahoma"/>
        <family val="2"/>
      </rPr>
      <t>CORE MUSEUM OPERATIONS</t>
    </r>
    <r>
      <rPr>
        <sz val="10"/>
        <rFont val="Tahoma"/>
        <family val="2"/>
      </rPr>
      <t xml:space="preserve"> include operational energy, operational transport, consumables and capital investment</t>
    </r>
  </si>
  <si>
    <t>TOTAL AREA IN SQIARE METRES OF SERVICED SPACE</t>
  </si>
  <si>
    <t>This uses just fuel bills, museum statistics and knowledge of staff and visitor behaviour</t>
  </si>
  <si>
    <t>It assumes that the museum is modestly sized and on one site</t>
  </si>
  <si>
    <t>It probably will not work well for a large or complex operation</t>
  </si>
  <si>
    <t>The 'Real' calculator is necessarily more complex and might take some effort to complete</t>
  </si>
  <si>
    <t>Improved nut still provisional results can be obtained by mixing the short and the long versions</t>
  </si>
  <si>
    <t>The calculator offers a 'Quick and Dirty' subcalculator that you could probably complete quite quickly (click the QUICK tab at the bottom)</t>
  </si>
  <si>
    <t xml:space="preserve">It is a good idea to take a 'Typical Year' as a target baseline, but include a proportion of the extra emmissions associated with </t>
  </si>
  <si>
    <t>occasional special circumstances</t>
  </si>
  <si>
    <t>Emmisions per visitor</t>
  </si>
  <si>
    <t>Emissions per each full time staff</t>
  </si>
  <si>
    <t>Emmissions per square metre</t>
  </si>
  <si>
    <t>Emissions per £ of revenue spent</t>
  </si>
  <si>
    <t>You can make a start by sitting around the coffee table and guessing the different quantities</t>
  </si>
  <si>
    <t>Then get the approximate statistics below (which still need some guesswork) and a hand-calculator</t>
  </si>
  <si>
    <t>Then go for the detailed analysis on other sheets</t>
  </si>
  <si>
    <t>TAKE A SAMPLE YEAR (last year is best)</t>
  </si>
  <si>
    <t>enter figures in the yellow box</t>
  </si>
  <si>
    <t>put your figures in this column</t>
  </si>
  <si>
    <t>assumes some goods, tractors etc</t>
  </si>
  <si>
    <t>some maths required here</t>
  </si>
  <si>
    <t>assumes hired coaches/walk</t>
  </si>
  <si>
    <t>This applies to museum expenditure within the revenue budget</t>
  </si>
  <si>
    <t>The emissions are arbitrarliy amortised over ten years</t>
  </si>
  <si>
    <t>So for major investments over the last ten years, one tenth should be allocated to your target year</t>
  </si>
  <si>
    <t>but it can be omitted from the overall tally if you wish</t>
  </si>
  <si>
    <t>There is provision for four separate discrete investment processes</t>
  </si>
  <si>
    <t>It is included because it might account for a large part of a museum's emissions in one year</t>
  </si>
  <si>
    <t>very high quality or eco-building</t>
  </si>
  <si>
    <t>typical building standard</t>
  </si>
  <si>
    <t>minimum quality structures</t>
  </si>
  <si>
    <t>emissions attributed to capital investments in previous ten years</t>
  </si>
  <si>
    <t>emissions attributable to target year</t>
  </si>
  <si>
    <t>Choose from drop down menu in grey cell</t>
  </si>
  <si>
    <t>If the museum has one single fuel bill acoount and one single electricity bill account, the calculations are very easy</t>
  </si>
  <si>
    <t>If not you may have to do some of the calculating work yourself</t>
  </si>
  <si>
    <t>Mains gas and electricity bills tell you how many Kilowatt-hours (kWh) of energy have been consumed.  This is the best unit to use</t>
  </si>
  <si>
    <t>Usually these bills come quarterly but might be monthly.  You will need a whole year</t>
  </si>
  <si>
    <t xml:space="preserve">Your total operational carbon emissions from energy consumption in buildings is </t>
  </si>
  <si>
    <t>If there is more than one building and they are billed seperately the process will have to be repeated for each set of bills</t>
  </si>
  <si>
    <t>You will need to include off-site facilities such as offices, storage etc</t>
  </si>
  <si>
    <t>ENTER EACH ANNUAL kWh TOTAL SHOWN IN THE YELLOW CELLS, NOTE THE VALUE IN THE ORANGE CELL,</t>
  </si>
  <si>
    <t>ADD THEM, AND ENTER THE TOTAL IN THE GREEN CELL BELOW</t>
  </si>
  <si>
    <t>In the case of bulk or bottlred gas or fuel oil you will need to enter the quantity per year</t>
  </si>
  <si>
    <t>(kilograms)</t>
  </si>
  <si>
    <t>(tonnes)</t>
  </si>
  <si>
    <t>In general you input data into yellow boxes unless otherwise instructed</t>
  </si>
  <si>
    <t>The simplest calculation here is in terms of litres of fuel</t>
  </si>
  <si>
    <t>If vehicles are filled on site from a tank records should be available.  This makes the calculation very simple</t>
  </si>
  <si>
    <t>If they filled off-site through a standing arrangement or account the records should be available</t>
  </si>
  <si>
    <t>ENTER THE NUMBER OF LITRES PER YEAR PURCHASED OFF-SITE</t>
  </si>
  <si>
    <t>In this case it is better to use the annual mileage recorded on the MOT certificate</t>
  </si>
  <si>
    <t>In the case of personal vehicles used for museum business the data should be in the expense records</t>
  </si>
  <si>
    <t>Developed by HRA with the Centre for Alternative Technology for the Rural Museums Network</t>
  </si>
  <si>
    <t>BUT you might need to make some estimates based on known trips and distances</t>
  </si>
  <si>
    <t>If vehicles are hired for special purposes you will need to record, or at least estimate, trhe relevant mileage</t>
  </si>
  <si>
    <t xml:space="preserve">USE THE TABLE BELOW TO FILL IN THE BEST DATA YOU CAN, </t>
  </si>
  <si>
    <t>apart from the data already entered for direct fuel consuption</t>
  </si>
  <si>
    <t>You will need to estimatefrom your records the total length of trip by each mode</t>
  </si>
  <si>
    <t>GOOGLE MAPS is useful,  No need to be too meticulous</t>
  </si>
  <si>
    <t>Factor</t>
  </si>
  <si>
    <t>Emissions</t>
  </si>
  <si>
    <t>If there are only a few staff you can probably get quite accurate estimates</t>
  </si>
  <si>
    <t>In most cases there will be a single mode</t>
  </si>
  <si>
    <t>In some cases more than one mode will be used per trip</t>
  </si>
  <si>
    <t>In some cases different modes might be used on different days</t>
  </si>
  <si>
    <t>In future versions of this calculator there might be enough capacity for all staff details</t>
  </si>
  <si>
    <t>In this version you can use this page to calculate each staff member individually for uor up to three modes per journey</t>
  </si>
  <si>
    <t>Mostly it will be just one mode</t>
  </si>
  <si>
    <t>If there are more than 10 staff repeat the process and add up the further results in the turquoise box</t>
  </si>
  <si>
    <t>THE TOTAL WILL APPEAR IN THE GREEN BOX</t>
  </si>
  <si>
    <t>type in results here</t>
  </si>
  <si>
    <t>They are not strictly your emissions</t>
  </si>
  <si>
    <t>However they will probably be larger than your operational emissions</t>
  </si>
  <si>
    <t>You might find you can 'save' more emissions more effectively by attending to visitor travel than you can in other ways</t>
  </si>
  <si>
    <t>The more detail you can gather from your visitor statistics the more reliable the results will be</t>
  </si>
  <si>
    <t>The figures in the yellow cells should add up tio the total in the orange cell</t>
  </si>
  <si>
    <t>You will probably require some informed estimates</t>
  </si>
  <si>
    <t>To create a sample, insert numbers from real cases in the appropriate yellow boxes</t>
  </si>
  <si>
    <t>WHERE DID THEY TRAVEL FROM</t>
  </si>
  <si>
    <r>
      <t xml:space="preserve">You can obtain emissions per mile for cars from </t>
    </r>
    <r>
      <rPr>
        <b/>
        <sz val="10"/>
        <rFont val="Arial"/>
        <family val="2"/>
      </rPr>
      <t xml:space="preserve"> www.vcacarfueldata.org.uk</t>
    </r>
    <r>
      <rPr>
        <sz val="10"/>
        <rFont val="Arial"/>
      </rPr>
      <t>.</t>
    </r>
  </si>
  <si>
    <t>Insert return miles. You can calculate this using google maps or multimap</t>
  </si>
  <si>
    <t>Insert emissions per mile</t>
  </si>
  <si>
    <t>To create a sample insert numbers into yellow cell</t>
  </si>
  <si>
    <t>Transfer this number to the appropriate colums in the extra calculation sheet</t>
  </si>
  <si>
    <t>Insert return mileage</t>
  </si>
  <si>
    <t>Specific emissions</t>
  </si>
  <si>
    <t>CALCULATION SHEET FOR VISITOR TRANSPORT</t>
  </si>
  <si>
    <t>This allows you to paste in or enter results from the PINK cells on the VISITOR TRANSPORT sheet</t>
  </si>
  <si>
    <t>once you have a reasonable sample(between 50 and 100 cases) but the more the better</t>
  </si>
  <si>
    <t>ENTER INDIVIDUAL RESULTS FROM EHI CELL ON VISITOR TRANSPORT SHEET</t>
  </si>
  <si>
    <t>average</t>
  </si>
  <si>
    <t>A smaller sample should be adequate here</t>
  </si>
  <si>
    <t>These boxes show an error message until data is entered elsewhere</t>
  </si>
  <si>
    <t>this cell shows an error message until data is entered elsewhere</t>
  </si>
  <si>
    <t>The AVERAGE cells show an error message until some data is entered in the yellow columns</t>
  </si>
  <si>
    <t>these cells show an error message until data is entered elsewhere</t>
  </si>
  <si>
    <t>matt</t>
  </si>
  <si>
    <t>janice</t>
  </si>
  <si>
    <t>dave</t>
  </si>
  <si>
    <t>sarah</t>
  </si>
  <si>
    <t>paul</t>
  </si>
  <si>
    <t>jane</t>
  </si>
  <si>
    <t>Shop stock</t>
  </si>
  <si>
    <t>paper</t>
  </si>
  <si>
    <t>coal?</t>
  </si>
  <si>
    <t>stationery</t>
  </si>
  <si>
    <t>6 tonnes</t>
  </si>
  <si>
    <t>steel?</t>
  </si>
  <si>
    <t>Animal feeds!</t>
  </si>
  <si>
    <t>nil</t>
  </si>
  <si>
    <t>café stock (food and drink)</t>
  </si>
  <si>
    <t>Bob</t>
  </si>
  <si>
    <t>Coal ?</t>
  </si>
  <si>
    <t>Kilograms</t>
  </si>
  <si>
    <t>THESE EMISSIONS BREAK DOWN AS FOLLOWS</t>
  </si>
  <si>
    <t>Energy used in Buildings</t>
  </si>
  <si>
    <t>Operational transport</t>
  </si>
  <si>
    <t>at a conversion factor of 2.5 for bituminous coal</t>
  </si>
  <si>
    <t>default value</t>
  </si>
  <si>
    <t>say 1 tonne at 2.8</t>
  </si>
  <si>
    <t>default</t>
  </si>
  <si>
    <t>an informed guess</t>
  </si>
  <si>
    <t>GTOT</t>
  </si>
  <si>
    <t>But this is largely on account of the coal</t>
  </si>
  <si>
    <t>Should not coal come under operational energy?</t>
  </si>
  <si>
    <t>Capital Investment</t>
  </si>
  <si>
    <t>Consumable goods</t>
  </si>
  <si>
    <t>Staff commuting</t>
  </si>
  <si>
    <t>Visitor travel</t>
  </si>
  <si>
    <t>THIS PARTICULAR MUSEUM HAS SHOWN UP THE LIMITATIONS OF CALLING THIS SECTION 'BUILDINGS'.</t>
  </si>
  <si>
    <t>IT SHOULD PROBABLY BE CALLED 'OPERATIONAL ENERGY' AND COULD INCLUDE A SPECIAL CATEGORY OF ENERGY INPUTS FOR MUSEUM CONTENT</t>
  </si>
  <si>
    <t>FOR EXAMPLE IF THE ESTIMATED 6 TONNES OF COAL HAD BEEN ADDED HERE THE RESULTS WOULD HAVE LOOKED DIFFERENT AND MORE 'TYPICAL'</t>
  </si>
  <si>
    <t>I feel the result is misleading on account of the coal, which the calculator suggests should be in 'goods' rather than operational energy.</t>
  </si>
  <si>
    <t>This needs amending.</t>
  </si>
  <si>
    <t>ANNUAL REVENUE EXPENDITURE</t>
  </si>
  <si>
    <t>STAFF NUMBER</t>
  </si>
  <si>
    <t>TOTAL FLOOR AREA</t>
  </si>
  <si>
    <t>GRAND TOTAL OF EMISSIONS</t>
  </si>
  <si>
    <t>OCCUPANCY</t>
  </si>
  <si>
    <t>EMISSION RATE</t>
  </si>
  <si>
    <t>TOTAL CARBON EMISSIONS FOR BUILDINGS</t>
  </si>
  <si>
    <t>KILOGRAMS</t>
  </si>
  <si>
    <t>FACTORS</t>
  </si>
  <si>
    <t>EMISSIONS FOR THAT CATEGORY</t>
  </si>
  <si>
    <t>OPERATIONAL EMISSIONS PER VISITOR</t>
  </si>
  <si>
    <t>INCL VISITOR TRAVEL</t>
  </si>
  <si>
    <t>Adventitious fuelling will probably be recorded through expenses claims</t>
  </si>
  <si>
    <t>furniture</t>
  </si>
  <si>
    <t>electrical equipment</t>
  </si>
  <si>
    <t>P</t>
  </si>
  <si>
    <t>Results are likely to be messy and approximate</t>
  </si>
  <si>
    <t>THE TOTAL EMISSIONS FROM THE LONG CALCULATOR:</t>
  </si>
  <si>
    <t>To cover all possible cases would make the calculator over-complex and difficult to use.</t>
  </si>
  <si>
    <t>Odd cases occasionally produce erratic results, so be prepared to spot obvious anomalies</t>
  </si>
  <si>
    <t>The calculator tries to do most of the calculations for you, but sometimes you will have to do some calculations for yourself</t>
  </si>
  <si>
    <t xml:space="preserve">The calculator offers a 'Quick and Dirty' subcalculator that you could probably complete quite quickly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</si>
</sst>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</font>
    <font>
      <b/>
      <sz val="9"/>
      <color indexed="81"/>
      <name val="Tahoma"/>
      <charset val="1"/>
    </font>
    <font>
      <sz val="1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0" xfId="0" applyFill="1"/>
    <xf numFmtId="0" fontId="0" fillId="3" borderId="0" xfId="0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Fill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0" borderId="0" xfId="0" applyFont="1" applyProtection="1"/>
    <xf numFmtId="2" fontId="4" fillId="4" borderId="4" xfId="0" applyNumberFormat="1" applyFont="1" applyFill="1" applyBorder="1"/>
    <xf numFmtId="2" fontId="4" fillId="5" borderId="1" xfId="0" applyNumberFormat="1" applyFont="1" applyFill="1" applyBorder="1"/>
    <xf numFmtId="2" fontId="4" fillId="5" borderId="2" xfId="0" applyNumberFormat="1" applyFont="1" applyFill="1" applyBorder="1"/>
    <xf numFmtId="2" fontId="4" fillId="5" borderId="3" xfId="0" applyNumberFormat="1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4" borderId="4" xfId="0" applyFill="1" applyBorder="1"/>
    <xf numFmtId="0" fontId="0" fillId="2" borderId="4" xfId="0" applyFill="1" applyBorder="1"/>
    <xf numFmtId="0" fontId="0" fillId="6" borderId="4" xfId="0" applyFill="1" applyBorder="1"/>
    <xf numFmtId="0" fontId="0" fillId="7" borderId="4" xfId="0" applyFill="1" applyBorder="1"/>
    <xf numFmtId="0" fontId="0" fillId="8" borderId="4" xfId="0" applyFill="1" applyBorder="1"/>
    <xf numFmtId="0" fontId="0" fillId="3" borderId="4" xfId="0" applyFill="1" applyBorder="1"/>
    <xf numFmtId="0" fontId="1" fillId="9" borderId="4" xfId="0" applyFont="1" applyFill="1" applyBorder="1"/>
    <xf numFmtId="0" fontId="4" fillId="9" borderId="1" xfId="0" applyFont="1" applyFill="1" applyBorder="1"/>
    <xf numFmtId="0" fontId="4" fillId="9" borderId="2" xfId="0" applyFont="1" applyFill="1" applyBorder="1"/>
    <xf numFmtId="1" fontId="4" fillId="9" borderId="2" xfId="0" applyNumberFormat="1" applyFont="1" applyFill="1" applyBorder="1"/>
    <xf numFmtId="0" fontId="4" fillId="9" borderId="3" xfId="0" applyFont="1" applyFill="1" applyBorder="1"/>
    <xf numFmtId="0" fontId="0" fillId="10" borderId="4" xfId="0" applyFill="1" applyBorder="1"/>
    <xf numFmtId="0" fontId="0" fillId="0" borderId="0" xfId="0" applyFill="1" applyBorder="1"/>
    <xf numFmtId="2" fontId="0" fillId="2" borderId="3" xfId="0" applyNumberFormat="1" applyFill="1" applyBorder="1"/>
    <xf numFmtId="0" fontId="2" fillId="2" borderId="1" xfId="0" applyFont="1" applyFill="1" applyBorder="1"/>
    <xf numFmtId="0" fontId="7" fillId="0" borderId="0" xfId="0" applyFont="1"/>
    <xf numFmtId="2" fontId="0" fillId="10" borderId="4" xfId="0" applyNumberFormat="1" applyFill="1" applyBorder="1"/>
    <xf numFmtId="0" fontId="0" fillId="9" borderId="0" xfId="0" applyFill="1"/>
    <xf numFmtId="0" fontId="3" fillId="0" borderId="0" xfId="0" applyFont="1" applyBorder="1"/>
    <xf numFmtId="0" fontId="0" fillId="11" borderId="4" xfId="0" applyFill="1" applyBorder="1"/>
    <xf numFmtId="0" fontId="0" fillId="12" borderId="4" xfId="0" applyFill="1" applyBorder="1"/>
    <xf numFmtId="0" fontId="0" fillId="13" borderId="4" xfId="0" applyFill="1" applyBorder="1"/>
    <xf numFmtId="0" fontId="0" fillId="14" borderId="4" xfId="0" applyFill="1" applyBorder="1"/>
    <xf numFmtId="0" fontId="3" fillId="9" borderId="0" xfId="0" applyFont="1" applyFill="1"/>
    <xf numFmtId="0" fontId="3" fillId="15" borderId="4" xfId="0" applyFont="1" applyFill="1" applyBorder="1"/>
    <xf numFmtId="0" fontId="8" fillId="16" borderId="8" xfId="0" applyFont="1" applyFill="1" applyBorder="1"/>
    <xf numFmtId="0" fontId="8" fillId="0" borderId="0" xfId="0" applyFont="1" applyFill="1"/>
    <xf numFmtId="0" fontId="0" fillId="16" borderId="7" xfId="0" applyFill="1" applyBorder="1"/>
    <xf numFmtId="0" fontId="8" fillId="16" borderId="9" xfId="0" applyFont="1" applyFill="1" applyBorder="1"/>
    <xf numFmtId="0" fontId="0" fillId="16" borderId="10" xfId="0" applyFill="1" applyBorder="1"/>
    <xf numFmtId="0" fontId="8" fillId="16" borderId="9" xfId="0" applyFont="1" applyFill="1" applyBorder="1" applyAlignment="1">
      <alignment horizontal="left"/>
    </xf>
    <xf numFmtId="2" fontId="0" fillId="2" borderId="4" xfId="0" applyNumberFormat="1" applyFill="1" applyBorder="1"/>
    <xf numFmtId="2" fontId="0" fillId="3" borderId="4" xfId="0" applyNumberFormat="1" applyFill="1" applyBorder="1"/>
    <xf numFmtId="0" fontId="0" fillId="15" borderId="4" xfId="0" applyFill="1" applyBorder="1"/>
    <xf numFmtId="0" fontId="0" fillId="9" borderId="4" xfId="0" applyFill="1" applyBorder="1"/>
    <xf numFmtId="0" fontId="9" fillId="0" borderId="0" xfId="0" applyFont="1"/>
    <xf numFmtId="1" fontId="4" fillId="0" borderId="0" xfId="0" applyNumberFormat="1" applyFont="1"/>
    <xf numFmtId="0" fontId="5" fillId="17" borderId="1" xfId="0" applyFont="1" applyFill="1" applyBorder="1"/>
    <xf numFmtId="0" fontId="5" fillId="17" borderId="2" xfId="0" applyFont="1" applyFill="1" applyBorder="1"/>
    <xf numFmtId="1" fontId="5" fillId="17" borderId="2" xfId="0" applyNumberFormat="1" applyFont="1" applyFill="1" applyBorder="1"/>
    <xf numFmtId="1" fontId="5" fillId="17" borderId="3" xfId="0" applyNumberFormat="1" applyFont="1" applyFill="1" applyBorder="1"/>
    <xf numFmtId="1" fontId="5" fillId="17" borderId="1" xfId="0" applyNumberFormat="1" applyFont="1" applyFill="1" applyBorder="1"/>
    <xf numFmtId="164" fontId="5" fillId="17" borderId="3" xfId="0" applyNumberFormat="1" applyFont="1" applyFill="1" applyBorder="1"/>
    <xf numFmtId="0" fontId="10" fillId="0" borderId="0" xfId="0" applyFont="1"/>
    <xf numFmtId="2" fontId="5" fillId="17" borderId="4" xfId="0" applyNumberFormat="1" applyFont="1" applyFill="1" applyBorder="1"/>
    <xf numFmtId="0" fontId="5" fillId="0" borderId="0" xfId="0" applyFont="1" applyAlignment="1">
      <alignment wrapText="1"/>
    </xf>
    <xf numFmtId="1" fontId="5" fillId="0" borderId="0" xfId="0" applyNumberFormat="1" applyFont="1"/>
    <xf numFmtId="0" fontId="4" fillId="18" borderId="0" xfId="0" applyFont="1" applyFill="1"/>
    <xf numFmtId="0" fontId="4" fillId="19" borderId="0" xfId="0" applyFont="1" applyFill="1"/>
    <xf numFmtId="0" fontId="12" fillId="0" borderId="0" xfId="0" applyFont="1"/>
    <xf numFmtId="0" fontId="12" fillId="2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revisionHeaders" Target="revisions/revisionHeader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usernames" Target="revisions/userNam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0148423005566"/>
          <c:y val="9.5941132274007357E-2"/>
          <c:w val="0.84601113172541742"/>
          <c:h val="0.675277969467051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QUICK!$B$36:$B$39</c:f>
              <c:strCache>
                <c:ptCount val="4"/>
                <c:pt idx="0">
                  <c:v>OPERATIONAL ENERGY</c:v>
                </c:pt>
                <c:pt idx="1">
                  <c:v>OPERATIONAL TRANSPORT</c:v>
                </c:pt>
                <c:pt idx="2">
                  <c:v>COMMUTING</c:v>
                </c:pt>
                <c:pt idx="3">
                  <c:v>VISITOR TRANSPORT</c:v>
                </c:pt>
              </c:strCache>
            </c:strRef>
          </c:cat>
          <c:val>
            <c:numRef>
              <c:f>QUICK!$C$36:$C$39</c:f>
              <c:numCache>
                <c:formatCode>General</c:formatCode>
                <c:ptCount val="4"/>
                <c:pt idx="0">
                  <c:v>5400</c:v>
                </c:pt>
                <c:pt idx="1">
                  <c:v>2100</c:v>
                </c:pt>
                <c:pt idx="2" formatCode="0">
                  <c:v>1271.8181818181818</c:v>
                </c:pt>
                <c:pt idx="3" formatCode="0">
                  <c:v>127729.4117647059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677568"/>
        <c:axId val="147679104"/>
      </c:barChart>
      <c:catAx>
        <c:axId val="1476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67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679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677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123825</xdr:colOff>
      <xdr:row>8</xdr:row>
      <xdr:rowOff>28575</xdr:rowOff>
    </xdr:to>
    <xdr:pic>
      <xdr:nvPicPr>
        <xdr:cNvPr id="6145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343025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34</xdr:row>
      <xdr:rowOff>9525</xdr:rowOff>
    </xdr:from>
    <xdr:to>
      <xdr:col>13</xdr:col>
      <xdr:colOff>171450</xdr:colOff>
      <xdr:row>48</xdr:row>
      <xdr:rowOff>104775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1343025</xdr:colOff>
      <xdr:row>8</xdr:row>
      <xdr:rowOff>28575</xdr:rowOff>
    </xdr:to>
    <xdr:pic>
      <xdr:nvPicPr>
        <xdr:cNvPr id="1032" name="Picture 8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343025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466725</xdr:colOff>
      <xdr:row>8</xdr:row>
      <xdr:rowOff>28575</xdr:rowOff>
    </xdr:to>
    <xdr:pic>
      <xdr:nvPicPr>
        <xdr:cNvPr id="4101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343025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123825</xdr:colOff>
      <xdr:row>8</xdr:row>
      <xdr:rowOff>28575</xdr:rowOff>
    </xdr:to>
    <xdr:pic>
      <xdr:nvPicPr>
        <xdr:cNvPr id="3077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343025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219075</xdr:colOff>
      <xdr:row>8</xdr:row>
      <xdr:rowOff>28575</xdr:rowOff>
    </xdr:to>
    <xdr:pic>
      <xdr:nvPicPr>
        <xdr:cNvPr id="5125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343025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733425</xdr:colOff>
      <xdr:row>8</xdr:row>
      <xdr:rowOff>28575</xdr:rowOff>
    </xdr:to>
    <xdr:pic>
      <xdr:nvPicPr>
        <xdr:cNvPr id="7169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343025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600075</xdr:colOff>
      <xdr:row>8</xdr:row>
      <xdr:rowOff>28575</xdr:rowOff>
    </xdr:to>
    <xdr:pic>
      <xdr:nvPicPr>
        <xdr:cNvPr id="2057" name="Picture 9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343025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161925</xdr:colOff>
      <xdr:row>8</xdr:row>
      <xdr:rowOff>28575</xdr:rowOff>
    </xdr:to>
    <xdr:pic>
      <xdr:nvPicPr>
        <xdr:cNvPr id="819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343025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123825</xdr:colOff>
      <xdr:row>8</xdr:row>
      <xdr:rowOff>28575</xdr:rowOff>
    </xdr:to>
    <xdr:pic>
      <xdr:nvPicPr>
        <xdr:cNvPr id="9217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0"/>
          <a:ext cx="1343025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A6C7C1B-7C2C-41F7-8745-B07A7B5B58AF}" diskRevisions="1" revisionId="246" version="2">
  <header guid="{9791DEBC-E804-4F67-A834-7F564CC0F3E8}" dateTime="2014-10-29T21:03:17" maxSheetId="11" userName="Peter Harper" r:id="rId2" minRId="181" maxRId="236">
    <sheetIdMap count="10">
      <sheetId val="1"/>
      <sheetId val="10"/>
      <sheetId val="2"/>
      <sheetId val="3"/>
      <sheetId val="4"/>
      <sheetId val="5"/>
      <sheetId val="6"/>
      <sheetId val="7"/>
      <sheetId val="8"/>
      <sheetId val="9"/>
    </sheetIdMap>
  </header>
  <header guid="{82AF3CC1-BB5C-485D-8691-1A5DCFA9D91B}" dateTime="2014-10-29T21:04:52" maxSheetId="11" userName="Peter Harper" r:id="rId3" minRId="238">
    <sheetIdMap count="10">
      <sheetId val="1"/>
      <sheetId val="10"/>
      <sheetId val="2"/>
      <sheetId val="3"/>
      <sheetId val="4"/>
      <sheetId val="5"/>
      <sheetId val="6"/>
      <sheetId val="7"/>
      <sheetId val="8"/>
      <sheetId val="9"/>
    </sheetIdMap>
  </header>
  <header guid="{7A6C7C1B-7C2C-41F7-8745-B07A7B5B58AF}" dateTime="2014-11-01T15:40:09" maxSheetId="11" userName="Peter Harper" r:id="rId4" minRId="240" maxRId="245">
    <sheetIdMap count="10">
      <sheetId val="1"/>
      <sheetId val="10"/>
      <sheetId val="2"/>
      <sheetId val="3"/>
      <sheetId val="4"/>
      <sheetId val="5"/>
      <sheetId val="6"/>
      <sheetId val="7"/>
      <sheetId val="8"/>
      <sheetId val="9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0" sId="1">
    <oc r="B13" t="inlineStr">
      <is>
        <t>To cover all possible cases would make the calculator over complex and difficult to use.</t>
      </is>
    </oc>
    <nc r="B13" t="inlineStr">
      <is>
        <t>To cover all possible cases would make the calculator over-complex and difficult to use.</t>
      </is>
    </nc>
  </rcc>
  <rcc rId="241" sId="1">
    <oc r="B17" t="inlineStr">
      <is>
        <t>Odd cases occasionally produce daft resilts, so be prepared to spot obvious anomalies</t>
      </is>
    </oc>
    <nc r="B17" t="inlineStr">
      <is>
        <t>Odd cases occasionally produce erratic results, so be prepared to spot obvious anomalies</t>
      </is>
    </nc>
  </rcc>
  <rcc rId="242" sId="1">
    <oc r="B19" t="inlineStr">
      <is>
        <t>The calculator tries to do most of the calculations for you, but sometimes you will have to do someocalculations for yourself</t>
      </is>
    </oc>
    <nc r="B19" t="inlineStr">
      <is>
        <t>The calculator tries to do most of the calculations for you, but sometimes you will have to do some calculations for yourself</t>
      </is>
    </nc>
  </rcc>
  <rcc rId="243" sId="1">
    <oc r="N15" t="inlineStr">
      <is>
        <t>The calculator offers a 'Quick and Dirty' subcalculator that you could probably complete quite quickly (click the QUICK tab at the bottom)</t>
      </is>
    </oc>
    <nc r="N15" t="inlineStr">
      <is>
        <t xml:space="preserve">The calculator offers a 'Quick and Dirty' subcalculator that you could probably complete quite quickly </t>
      </is>
    </nc>
  </rcc>
  <rcc rId="244" sId="1">
    <oc r="N40" t="inlineStr">
      <is>
        <t>I feel the result is misleading on account of the coal, which the calculator suggests should be in 'goods' rather than operational energy.</t>
      </is>
    </oc>
    <nc r="N40"/>
  </rcc>
  <rcc rId="245" sId="1">
    <oc r="N41" t="inlineStr">
      <is>
        <t>This needs amending.</t>
      </is>
    </oc>
    <nc r="N41"/>
  </rcc>
  <rfmt sheetId="1" sqref="N33:U38" start="0" length="2147483647">
    <dxf>
      <font>
        <sz val="11"/>
      </font>
    </dxf>
  </rfmt>
  <rcv guid="{5DDB5E46-F5AF-4025-A0A8-B64361C1F352}" action="delete"/>
  <rdn rId="0" localSheetId="2" customView="1" name="Z_5DDB5E46_F5AF_4025_A0A8_B64361C1F352_.wvu.PrintArea" hidden="1" oldHidden="1">
    <formula>QUICK!$A$1:$P$49</formula>
    <oldFormula>QUICK!$A$1:$P$49</oldFormula>
  </rdn>
  <rcv guid="{5DDB5E46-F5AF-4025-A0A8-B64361C1F352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1" sId="1">
    <nc r="N9" t="inlineStr">
      <is>
        <t>ANNUAL REVENUE EXPENDITURE FOR THE TARGET YEAR</t>
      </is>
    </nc>
  </rcc>
  <rcc rId="182" sId="1">
    <nc r="U9">
      <v>90000</v>
    </nc>
  </rcc>
  <rcc rId="183" sId="1">
    <nc r="V9" t="inlineStr">
      <is>
        <t>ARV</t>
      </is>
    </nc>
  </rcc>
  <rcc rId="184" sId="1">
    <nc r="N10" t="inlineStr">
      <is>
        <t>NUMBER OF  VISITORS IN THE TARGET YEAR</t>
      </is>
    </nc>
  </rcc>
  <rcc rId="185" sId="1">
    <nc r="U10">
      <v>14542</v>
    </nc>
  </rcc>
  <rcc rId="186" sId="1">
    <nc r="V10" t="inlineStr">
      <is>
        <t>ANV</t>
      </is>
    </nc>
  </rcc>
  <rcc rId="187" sId="1">
    <nc r="N11" t="inlineStr">
      <is>
        <t>NO. OF FULL-TIME STAFF EQUIVALENT</t>
      </is>
    </nc>
  </rcc>
  <rcc rId="188" sId="1">
    <nc r="U11">
      <v>4.43</v>
    </nc>
  </rcc>
  <rcc rId="189" sId="1">
    <nc r="V11" t="inlineStr">
      <is>
        <t>STN</t>
      </is>
    </nc>
  </rcc>
  <rcc rId="190" sId="1">
    <nc r="N12" t="inlineStr">
      <is>
        <t>TOTAL AREA IN SQIARE METRES OF SERVICED SPACE</t>
      </is>
    </nc>
  </rcc>
  <rcc rId="191" sId="1">
    <nc r="U12">
      <v>480</v>
    </nc>
  </rcc>
  <rcc rId="192" sId="1">
    <nc r="V12" t="inlineStr">
      <is>
        <t>TFA</t>
      </is>
    </nc>
  </rcc>
  <rcc rId="193" sId="1">
    <nc r="N15" t="inlineStr">
      <is>
        <t>The calculator offers a 'Quick and Dirty' subcalculator that you could probably complete quite quickly (click the QUICK tab at the bottom)</t>
      </is>
    </nc>
  </rcc>
  <rcc rId="194" sId="1">
    <nc r="N16" t="inlineStr">
      <is>
        <t>This uses just fuel bills, museum statistics and knowledge of staff and visitor behaviour</t>
      </is>
    </nc>
  </rcc>
  <rcc rId="195" sId="1">
    <nc r="N17" t="inlineStr">
      <is>
        <t>It assumes that the museum is modestly sized and on one site</t>
      </is>
    </nc>
  </rcc>
  <rcc rId="196" sId="1">
    <nc r="N18" t="inlineStr">
      <is>
        <t>It probably will not work well for a large or complex operation</t>
      </is>
    </nc>
  </rcc>
  <rcc rId="197" sId="1">
    <nc r="N20" t="inlineStr">
      <is>
        <t>The 'Real' calculator is necessarily more complex and might take some effort to complete</t>
      </is>
    </nc>
  </rcc>
  <rcc rId="198" sId="1">
    <nc r="N21" t="inlineStr">
      <is>
        <t>Improved nut still provisional results can be obtained by mixing the short and the long versions</t>
      </is>
    </nc>
  </rcc>
  <rcc rId="199" sId="1">
    <nc r="U23">
      <f>CTY+OET4+TOTE+COMTOT+TOTVT</f>
    </nc>
  </rcc>
  <rcc rId="200" sId="1">
    <nc r="V23" t="inlineStr">
      <is>
        <t>GTTL</t>
      </is>
    </nc>
  </rcc>
  <rcc rId="201" sId="1">
    <nc r="W23" t="inlineStr">
      <is>
        <t>Kilograms</t>
      </is>
    </nc>
  </rcc>
  <rcc rId="202" sId="1">
    <nc r="N24" t="inlineStr">
      <is>
        <t>Emissions per £ of revenue spent</t>
      </is>
    </nc>
  </rcc>
  <rcc rId="203" sId="1">
    <nc r="U24">
      <f>SUM(GTTL/U9)</f>
    </nc>
  </rcc>
  <rcc rId="204" sId="1">
    <nc r="N25" t="inlineStr">
      <is>
        <t>Emmisions per visitor</t>
      </is>
    </nc>
  </rcc>
  <rcc rId="205" sId="1">
    <nc r="U25">
      <f>SUM(GTTL/U10)</f>
    </nc>
  </rcc>
  <rcc rId="206" sId="1">
    <nc r="N26" t="inlineStr">
      <is>
        <t>Emissions per each full time staff</t>
      </is>
    </nc>
  </rcc>
  <rcc rId="207" sId="1">
    <nc r="U26">
      <f>SUM(GTTL/U11)</f>
    </nc>
  </rcc>
  <rcc rId="208" sId="1">
    <nc r="N27" t="inlineStr">
      <is>
        <t>Emmissions per square metre</t>
      </is>
    </nc>
  </rcc>
  <rcc rId="209" sId="1">
    <nc r="U27">
      <f>SUM(GTTL/U12)</f>
    </nc>
  </rcc>
  <rcc rId="210" sId="1">
    <nc r="N29" t="inlineStr">
      <is>
        <t>These boxes show an error message until data is entered elsewhere</t>
      </is>
    </nc>
  </rcc>
  <rcc rId="211" sId="1">
    <nc r="N31" t="inlineStr">
      <is>
        <t>THESE EMISSIONS BREAK DOWN AS FOLLOWS</t>
      </is>
    </nc>
  </rcc>
  <rcc rId="212" sId="1">
    <nc r="N33" t="inlineStr">
      <is>
        <t>Energy used in Buildings</t>
      </is>
    </nc>
  </rcc>
  <rcc rId="213" sId="1">
    <nc r="U33">
      <f>OET4</f>
    </nc>
  </rcc>
  <rcc rId="214" sId="1">
    <nc r="W33">
      <f>OET4</f>
    </nc>
  </rcc>
  <rcc rId="215" sId="1">
    <nc r="N34" t="inlineStr">
      <is>
        <t>Operational transport</t>
      </is>
    </nc>
  </rcc>
  <rcc rId="216" sId="1">
    <nc r="U34">
      <f>TOTE</f>
    </nc>
  </rcc>
  <rcc rId="217" sId="1">
    <nc r="W34">
      <f>TOTE</f>
    </nc>
  </rcc>
  <rcc rId="218" sId="1">
    <nc r="N35" t="inlineStr">
      <is>
        <t>Capital Investment</t>
      </is>
    </nc>
  </rcc>
  <rcc rId="219" sId="1">
    <nc r="U35">
      <f>CTY</f>
    </nc>
  </rcc>
  <rcc rId="220" sId="1">
    <nc r="W35">
      <f>CTY</f>
    </nc>
  </rcc>
  <rcc rId="221" sId="1">
    <nc r="N36" t="inlineStr">
      <is>
        <t>Consumable goods</t>
      </is>
    </nc>
  </rcc>
  <rcc rId="222" sId="1">
    <nc r="U36">
      <f>GTOT</f>
    </nc>
  </rcc>
  <rcc rId="223" sId="1">
    <nc r="W36">
      <f>GTOT</f>
    </nc>
  </rcc>
  <rcc rId="224" sId="1">
    <nc r="N37" t="inlineStr">
      <is>
        <t>Staff commuting</t>
      </is>
    </nc>
  </rcc>
  <rcc rId="225" sId="1">
    <nc r="U37">
      <f>COMTOT</f>
    </nc>
  </rcc>
  <rcc rId="226" sId="1">
    <nc r="W37">
      <f>COMTOT</f>
    </nc>
  </rcc>
  <rcc rId="227" sId="1">
    <nc r="N38" t="inlineStr">
      <is>
        <t>Visitor travel</t>
      </is>
    </nc>
  </rcc>
  <rcc rId="228" sId="1">
    <nc r="U38">
      <f>TOTVT</f>
    </nc>
  </rcc>
  <rcc rId="229" sId="1">
    <nc r="W38">
      <f>SUM(W33:W37)</f>
    </nc>
  </rcc>
  <rcc rId="230" sId="1">
    <nc r="N40" t="inlineStr">
      <is>
        <t>I feel the result is misleading on account of the coal, which the calculator suggests should be in 'goods' rather than operational energy.</t>
      </is>
    </nc>
  </rcc>
  <rcc rId="231" sId="1">
    <nc r="N41" t="inlineStr">
      <is>
        <t>This needs amending.</t>
      </is>
    </nc>
  </rcc>
  <rfmt sheetId="1" sqref="U9:U12" start="0" length="0">
    <dxf>
      <fill>
        <patternFill patternType="solid">
          <bgColor indexed="13"/>
        </patternFill>
      </fill>
    </dxf>
  </rfmt>
  <rfmt sheetId="1" sqref="U23:U27" start="0" length="0">
    <dxf>
      <fill>
        <patternFill patternType="solid">
          <bgColor indexed="50"/>
        </patternFill>
      </fill>
    </dxf>
  </rfmt>
  <rm rId="232" sheetId="1" source="I42:J45" destination="J42:K45" sourceSheetId="1">
    <rfmt sheetId="1" sqref="K42" start="0" length="0">
      <dxf>
        <font>
          <sz val="10"/>
          <color auto="1"/>
          <name val="Tahoma"/>
          <scheme val="none"/>
        </font>
      </dxf>
    </rfmt>
    <rfmt sheetId="1" sqref="K43" start="0" length="0">
      <dxf>
        <font>
          <sz val="10"/>
          <color auto="1"/>
          <name val="Tahoma"/>
          <scheme val="none"/>
        </font>
      </dxf>
    </rfmt>
    <rfmt sheetId="1" sqref="K44" start="0" length="0">
      <dxf>
        <font>
          <sz val="10"/>
          <color auto="1"/>
          <name val="Tahoma"/>
          <scheme val="none"/>
        </font>
      </dxf>
    </rfmt>
    <rfmt sheetId="1" sqref="K45" start="0" length="0">
      <dxf>
        <font>
          <sz val="10"/>
          <color auto="1"/>
          <name val="Tahoma"/>
          <scheme val="none"/>
        </font>
      </dxf>
    </rfmt>
  </rm>
  <rm rId="233" sheetId="1" source="I56:K60" destination="J56:L60" sourceSheetId="1">
    <rfmt sheetId="1" sqref="L56" start="0" length="0">
      <dxf>
        <font>
          <sz val="10"/>
          <color auto="1"/>
          <name val="Tahoma"/>
          <scheme val="none"/>
        </font>
      </dxf>
    </rfmt>
    <rfmt sheetId="1" sqref="L57" start="0" length="0">
      <dxf>
        <font>
          <sz val="10"/>
          <color auto="1"/>
          <name val="Tahoma"/>
          <scheme val="none"/>
        </font>
      </dxf>
    </rfmt>
    <rfmt sheetId="1" sqref="L58" start="0" length="0">
      <dxf>
        <font>
          <sz val="10"/>
          <color auto="1"/>
          <name val="Tahoma"/>
          <scheme val="none"/>
        </font>
      </dxf>
    </rfmt>
    <rfmt sheetId="1" sqref="L59" start="0" length="0">
      <dxf>
        <font>
          <sz val="10"/>
          <color auto="1"/>
          <name val="Tahoma"/>
          <scheme val="none"/>
        </font>
      </dxf>
    </rfmt>
    <rfmt sheetId="1" sqref="L60" start="0" length="0">
      <dxf>
        <font>
          <sz val="10"/>
          <color auto="1"/>
          <name val="Tahoma"/>
          <scheme val="none"/>
        </font>
      </dxf>
    </rfmt>
  </rm>
  <rm rId="234" sheetId="1" source="J56:L60" destination="K56:M60" sourceSheetId="1">
    <rfmt sheetId="1" sqref="M56" start="0" length="0">
      <dxf>
        <font>
          <sz val="10"/>
          <color auto="1"/>
          <name val="Tahoma"/>
          <scheme val="none"/>
        </font>
      </dxf>
    </rfmt>
    <rfmt sheetId="1" sqref="M57" start="0" length="0">
      <dxf>
        <font>
          <sz val="10"/>
          <color auto="1"/>
          <name val="Tahoma"/>
          <scheme val="none"/>
        </font>
      </dxf>
    </rfmt>
    <rfmt sheetId="1" sqref="M58" start="0" length="0">
      <dxf>
        <font>
          <sz val="10"/>
          <color auto="1"/>
          <name val="Tahoma"/>
          <scheme val="none"/>
        </font>
      </dxf>
    </rfmt>
    <rfmt sheetId="1" sqref="M59" start="0" length="0">
      <dxf>
        <font>
          <sz val="10"/>
          <color auto="1"/>
          <name val="Tahoma"/>
          <scheme val="none"/>
        </font>
      </dxf>
    </rfmt>
    <rfmt sheetId="1" sqref="M60" start="0" length="0">
      <dxf>
        <font>
          <sz val="10"/>
          <color auto="1"/>
          <name val="Tahoma"/>
          <scheme val="none"/>
        </font>
      </dxf>
    </rfmt>
  </rm>
  <rcc rId="235" sId="1">
    <nc r="N23" t="inlineStr">
      <is>
        <t>THE TOTAL EMISSIONS FROM THE LONG CALCULATOR:</t>
      </is>
    </nc>
  </rcc>
  <rfmt sheetId="1" sqref="U33:U38" start="0" length="0">
    <dxf>
      <fill>
        <patternFill patternType="solid">
          <bgColor indexed="29"/>
        </patternFill>
      </fill>
    </dxf>
  </rfmt>
  <rm rId="236" sheetId="1" source="A42:IV75" destination="A46:IV79" sourceSheetId="1">
    <rfmt sheetId="1" xfDxf="1" sqref="A76:IV76" start="0" length="0">
      <dxf>
        <font>
          <name val="Tahoma"/>
          <scheme val="none"/>
        </font>
      </dxf>
    </rfmt>
    <rfmt sheetId="1" xfDxf="1" sqref="A77:IV77" start="0" length="0">
      <dxf>
        <font>
          <name val="Tahoma"/>
          <scheme val="none"/>
        </font>
      </dxf>
    </rfmt>
    <rfmt sheetId="1" xfDxf="1" sqref="A78:IV78" start="0" length="0">
      <dxf>
        <font>
          <name val="Tahoma"/>
          <scheme val="none"/>
        </font>
      </dxf>
    </rfmt>
    <rfmt sheetId="1" xfDxf="1" sqref="A79:IV79" start="0" length="0">
      <dxf>
        <font>
          <name val="Tahoma"/>
          <scheme val="none"/>
        </font>
      </dxf>
    </rfmt>
  </rm>
  <rdn rId="0" localSheetId="2" customView="1" name="Z_5DDB5E46_F5AF_4025_A0A8_B64361C1F352_.wvu.PrintArea" hidden="1" oldHidden="1">
    <formula>QUICK!$A$1:$P$49</formula>
  </rdn>
  <rcv guid="{5DDB5E46-F5AF-4025-A0A8-B64361C1F352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238" sheetId="1" source="A46:P79" destination="A48:P81" sourceSheetId="1">
    <rfmt sheetId="1" sqref="A80" start="0" length="0">
      <dxf>
        <font>
          <sz val="10"/>
          <color auto="1"/>
          <name val="Tahoma"/>
          <scheme val="none"/>
        </font>
      </dxf>
    </rfmt>
    <rfmt sheetId="1" sqref="B80" start="0" length="0">
      <dxf>
        <font>
          <sz val="10"/>
          <color auto="1"/>
          <name val="Tahoma"/>
          <scheme val="none"/>
        </font>
      </dxf>
    </rfmt>
    <rfmt sheetId="1" sqref="C80" start="0" length="0">
      <dxf>
        <font>
          <sz val="10"/>
          <color auto="1"/>
          <name val="Tahoma"/>
          <scheme val="none"/>
        </font>
      </dxf>
    </rfmt>
    <rfmt sheetId="1" sqref="D80" start="0" length="0">
      <dxf>
        <font>
          <sz val="10"/>
          <color auto="1"/>
          <name val="Tahoma"/>
          <scheme val="none"/>
        </font>
      </dxf>
    </rfmt>
    <rfmt sheetId="1" sqref="E80" start="0" length="0">
      <dxf>
        <font>
          <sz val="10"/>
          <color auto="1"/>
          <name val="Tahoma"/>
          <scheme val="none"/>
        </font>
      </dxf>
    </rfmt>
    <rfmt sheetId="1" sqref="F80" start="0" length="0">
      <dxf>
        <font>
          <sz val="10"/>
          <color auto="1"/>
          <name val="Tahoma"/>
          <scheme val="none"/>
        </font>
      </dxf>
    </rfmt>
    <rfmt sheetId="1" sqref="G80" start="0" length="0">
      <dxf>
        <font>
          <sz val="10"/>
          <color auto="1"/>
          <name val="Tahoma"/>
          <scheme val="none"/>
        </font>
      </dxf>
    </rfmt>
    <rfmt sheetId="1" sqref="H80" start="0" length="0">
      <dxf>
        <font>
          <sz val="10"/>
          <color auto="1"/>
          <name val="Tahoma"/>
          <scheme val="none"/>
        </font>
      </dxf>
    </rfmt>
    <rfmt sheetId="1" sqref="I80" start="0" length="0">
      <dxf>
        <font>
          <sz val="10"/>
          <color auto="1"/>
          <name val="Tahoma"/>
          <scheme val="none"/>
        </font>
      </dxf>
    </rfmt>
    <rfmt sheetId="1" sqref="J80" start="0" length="0">
      <dxf>
        <font>
          <sz val="10"/>
          <color auto="1"/>
          <name val="Tahoma"/>
          <scheme val="none"/>
        </font>
      </dxf>
    </rfmt>
    <rfmt sheetId="1" sqref="K80" start="0" length="0">
      <dxf>
        <font>
          <sz val="10"/>
          <color auto="1"/>
          <name val="Tahoma"/>
          <scheme val="none"/>
        </font>
      </dxf>
    </rfmt>
    <rfmt sheetId="1" sqref="L80" start="0" length="0">
      <dxf>
        <font>
          <sz val="10"/>
          <color auto="1"/>
          <name val="Tahoma"/>
          <scheme val="none"/>
        </font>
      </dxf>
    </rfmt>
    <rfmt sheetId="1" sqref="M80" start="0" length="0">
      <dxf>
        <font>
          <sz val="10"/>
          <color auto="1"/>
          <name val="Tahoma"/>
          <scheme val="none"/>
        </font>
      </dxf>
    </rfmt>
    <rfmt sheetId="1" sqref="N80" start="0" length="0">
      <dxf>
        <font>
          <sz val="10"/>
          <color auto="1"/>
          <name val="Tahoma"/>
          <scheme val="none"/>
        </font>
      </dxf>
    </rfmt>
    <rfmt sheetId="1" sqref="O80" start="0" length="0">
      <dxf>
        <font>
          <sz val="10"/>
          <color auto="1"/>
          <name val="Tahoma"/>
          <scheme val="none"/>
        </font>
      </dxf>
    </rfmt>
    <rfmt sheetId="1" sqref="P80" start="0" length="0">
      <dxf>
        <font>
          <sz val="10"/>
          <color auto="1"/>
          <name val="Tahoma"/>
          <scheme val="none"/>
        </font>
      </dxf>
    </rfmt>
    <rfmt sheetId="1" sqref="A81" start="0" length="0">
      <dxf>
        <font>
          <sz val="10"/>
          <color auto="1"/>
          <name val="Tahoma"/>
          <scheme val="none"/>
        </font>
      </dxf>
    </rfmt>
    <rfmt sheetId="1" sqref="B81" start="0" length="0">
      <dxf>
        <font>
          <sz val="10"/>
          <color auto="1"/>
          <name val="Tahoma"/>
          <scheme val="none"/>
        </font>
      </dxf>
    </rfmt>
    <rfmt sheetId="1" sqref="C81" start="0" length="0">
      <dxf>
        <font>
          <sz val="10"/>
          <color auto="1"/>
          <name val="Tahoma"/>
          <scheme val="none"/>
        </font>
      </dxf>
    </rfmt>
    <rfmt sheetId="1" sqref="D81" start="0" length="0">
      <dxf>
        <font>
          <sz val="10"/>
          <color auto="1"/>
          <name val="Tahoma"/>
          <scheme val="none"/>
        </font>
      </dxf>
    </rfmt>
    <rfmt sheetId="1" sqref="E81" start="0" length="0">
      <dxf>
        <font>
          <sz val="10"/>
          <color auto="1"/>
          <name val="Tahoma"/>
          <scheme val="none"/>
        </font>
      </dxf>
    </rfmt>
    <rfmt sheetId="1" sqref="F81" start="0" length="0">
      <dxf>
        <font>
          <sz val="10"/>
          <color auto="1"/>
          <name val="Tahoma"/>
          <scheme val="none"/>
        </font>
      </dxf>
    </rfmt>
    <rfmt sheetId="1" sqref="G81" start="0" length="0">
      <dxf>
        <font>
          <sz val="10"/>
          <color auto="1"/>
          <name val="Tahoma"/>
          <scheme val="none"/>
        </font>
      </dxf>
    </rfmt>
    <rfmt sheetId="1" sqref="H81" start="0" length="0">
      <dxf>
        <font>
          <sz val="10"/>
          <color auto="1"/>
          <name val="Tahoma"/>
          <scheme val="none"/>
        </font>
      </dxf>
    </rfmt>
    <rfmt sheetId="1" sqref="I81" start="0" length="0">
      <dxf>
        <font>
          <sz val="10"/>
          <color auto="1"/>
          <name val="Tahoma"/>
          <scheme val="none"/>
        </font>
      </dxf>
    </rfmt>
    <rfmt sheetId="1" sqref="J81" start="0" length="0">
      <dxf>
        <font>
          <sz val="10"/>
          <color auto="1"/>
          <name val="Tahoma"/>
          <scheme val="none"/>
        </font>
      </dxf>
    </rfmt>
    <rfmt sheetId="1" sqref="K81" start="0" length="0">
      <dxf>
        <font>
          <sz val="10"/>
          <color auto="1"/>
          <name val="Tahoma"/>
          <scheme val="none"/>
        </font>
      </dxf>
    </rfmt>
    <rfmt sheetId="1" sqref="L81" start="0" length="0">
      <dxf>
        <font>
          <sz val="10"/>
          <color auto="1"/>
          <name val="Tahoma"/>
          <scheme val="none"/>
        </font>
      </dxf>
    </rfmt>
    <rfmt sheetId="1" sqref="M81" start="0" length="0">
      <dxf>
        <font>
          <sz val="10"/>
          <color auto="1"/>
          <name val="Tahoma"/>
          <scheme val="none"/>
        </font>
      </dxf>
    </rfmt>
    <rfmt sheetId="1" sqref="N81" start="0" length="0">
      <dxf>
        <font>
          <sz val="10"/>
          <color auto="1"/>
          <name val="Tahoma"/>
          <scheme val="none"/>
        </font>
      </dxf>
    </rfmt>
    <rfmt sheetId="1" sqref="O81" start="0" length="0">
      <dxf>
        <font>
          <sz val="10"/>
          <color auto="1"/>
          <name val="Tahoma"/>
          <scheme val="none"/>
        </font>
      </dxf>
    </rfmt>
    <rfmt sheetId="1" sqref="P81" start="0" length="0">
      <dxf>
        <font>
          <sz val="10"/>
          <color auto="1"/>
          <name val="Tahoma"/>
          <scheme val="none"/>
        </font>
      </dxf>
    </rfmt>
  </rm>
  <rcv guid="{5DDB5E46-F5AF-4025-A0A8-B64361C1F352}" action="delete"/>
  <rdn rId="0" localSheetId="2" customView="1" name="Z_5DDB5E46_F5AF_4025_A0A8_B64361C1F352_.wvu.PrintArea" hidden="1" oldHidden="1">
    <formula>QUICK!$A$1:$P$49</formula>
    <oldFormula>QUICK!$A$1:$P$49</oldFormula>
  </rdn>
  <rcv guid="{5DDB5E46-F5AF-4025-A0A8-B64361C1F352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82AF3CC1-BB5C-485D-8691-1A5DCFA9D91B}" name="Peter Harper" id="-1513536401" dateTime="2014-11-01T15:40:08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drawing" Target="../drawings/drawing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W80"/>
  <sheetViews>
    <sheetView showGridLines="0" tabSelected="1" zoomScale="80" zoomScaleNormal="80" workbookViewId="0">
      <selection activeCell="K49" sqref="K49"/>
    </sheetView>
  </sheetViews>
  <sheetFormatPr defaultRowHeight="12.75" x14ac:dyDescent="0.2"/>
  <cols>
    <col min="1" max="1" width="5.28515625" style="8" customWidth="1"/>
    <col min="2" max="3" width="9.140625" style="8"/>
    <col min="4" max="4" width="11.7109375" style="8" customWidth="1"/>
    <col min="5" max="8" width="9.140625" style="8"/>
    <col min="9" max="9" width="13.28515625" style="8" customWidth="1"/>
    <col min="10" max="10" width="9.140625" style="8"/>
    <col min="11" max="11" width="11.7109375" style="8" customWidth="1"/>
    <col min="12" max="16384" width="9.140625" style="8"/>
  </cols>
  <sheetData>
    <row r="5" spans="2:22" ht="19.5" x14ac:dyDescent="0.25">
      <c r="D5" s="10" t="s">
        <v>248</v>
      </c>
    </row>
    <row r="6" spans="2:22" x14ac:dyDescent="0.2">
      <c r="D6" s="8" t="s">
        <v>318</v>
      </c>
    </row>
    <row r="7" spans="2:22" x14ac:dyDescent="0.2">
      <c r="D7" s="8" t="s">
        <v>247</v>
      </c>
    </row>
    <row r="9" spans="2:22" x14ac:dyDescent="0.2">
      <c r="N9" s="8" t="s">
        <v>95</v>
      </c>
      <c r="U9" s="70">
        <v>90000</v>
      </c>
      <c r="V9" s="8" t="s">
        <v>183</v>
      </c>
    </row>
    <row r="10" spans="2:22" x14ac:dyDescent="0.2">
      <c r="N10" s="8" t="s">
        <v>132</v>
      </c>
      <c r="U10" s="70">
        <v>14542</v>
      </c>
      <c r="V10" s="8" t="s">
        <v>39</v>
      </c>
    </row>
    <row r="11" spans="2:22" x14ac:dyDescent="0.2">
      <c r="B11" s="9" t="s">
        <v>254</v>
      </c>
      <c r="N11" s="8" t="s">
        <v>96</v>
      </c>
      <c r="U11" s="70">
        <v>4.43</v>
      </c>
      <c r="V11" s="8" t="s">
        <v>184</v>
      </c>
    </row>
    <row r="12" spans="2:22" x14ac:dyDescent="0.2">
      <c r="B12" s="8" t="s">
        <v>249</v>
      </c>
      <c r="N12" s="8" t="s">
        <v>265</v>
      </c>
      <c r="U12" s="70">
        <v>480</v>
      </c>
      <c r="V12" s="8" t="s">
        <v>149</v>
      </c>
    </row>
    <row r="13" spans="2:22" x14ac:dyDescent="0.2">
      <c r="B13" s="8" t="s">
        <v>418</v>
      </c>
    </row>
    <row r="15" spans="2:22" x14ac:dyDescent="0.2">
      <c r="B15" s="8" t="s">
        <v>250</v>
      </c>
      <c r="N15" s="8" t="s">
        <v>421</v>
      </c>
    </row>
    <row r="16" spans="2:22" x14ac:dyDescent="0.2">
      <c r="B16" s="8" t="s">
        <v>251</v>
      </c>
      <c r="N16" s="8" t="s">
        <v>266</v>
      </c>
    </row>
    <row r="17" spans="2:23" x14ac:dyDescent="0.2">
      <c r="B17" s="8" t="s">
        <v>419</v>
      </c>
      <c r="N17" s="8" t="s">
        <v>267</v>
      </c>
    </row>
    <row r="18" spans="2:23" x14ac:dyDescent="0.2">
      <c r="N18" s="8" t="s">
        <v>268</v>
      </c>
    </row>
    <row r="19" spans="2:23" x14ac:dyDescent="0.2">
      <c r="B19" s="8" t="s">
        <v>420</v>
      </c>
    </row>
    <row r="20" spans="2:23" x14ac:dyDescent="0.2">
      <c r="B20" s="8" t="s">
        <v>252</v>
      </c>
      <c r="N20" s="8" t="s">
        <v>269</v>
      </c>
    </row>
    <row r="21" spans="2:23" x14ac:dyDescent="0.2">
      <c r="B21" s="8" t="s">
        <v>253</v>
      </c>
      <c r="N21" s="8" t="s">
        <v>270</v>
      </c>
    </row>
    <row r="23" spans="2:23" x14ac:dyDescent="0.2">
      <c r="B23" s="8" t="s">
        <v>263</v>
      </c>
      <c r="N23" s="8" t="s">
        <v>417</v>
      </c>
      <c r="U23" s="71">
        <f>CTY+_OET4+TOTE+COMTOT+TOTVT</f>
        <v>254840.43565656568</v>
      </c>
      <c r="V23" s="8" t="s">
        <v>246</v>
      </c>
      <c r="W23" s="8" t="s">
        <v>379</v>
      </c>
    </row>
    <row r="24" spans="2:23" x14ac:dyDescent="0.2">
      <c r="B24" s="8" t="s">
        <v>264</v>
      </c>
      <c r="N24" s="8" t="s">
        <v>277</v>
      </c>
      <c r="U24" s="71">
        <f>SUM(GTTL/U9)</f>
        <v>2.831560396184063</v>
      </c>
    </row>
    <row r="25" spans="2:23" x14ac:dyDescent="0.2">
      <c r="B25" s="8" t="s">
        <v>255</v>
      </c>
      <c r="N25" s="8" t="s">
        <v>274</v>
      </c>
      <c r="U25" s="71">
        <f>SUM(GTTL/U10)</f>
        <v>17.524442006365401</v>
      </c>
    </row>
    <row r="26" spans="2:23" x14ac:dyDescent="0.2">
      <c r="B26" s="8" t="s">
        <v>256</v>
      </c>
      <c r="N26" s="8" t="s">
        <v>275</v>
      </c>
      <c r="U26" s="71">
        <f>SUM(GTTL/U11)</f>
        <v>57526.057710285713</v>
      </c>
    </row>
    <row r="27" spans="2:23" x14ac:dyDescent="0.2">
      <c r="B27" s="8" t="s">
        <v>257</v>
      </c>
      <c r="N27" s="8" t="s">
        <v>276</v>
      </c>
      <c r="U27" s="71">
        <f>SUM(GTTL/U12)</f>
        <v>530.91757428451183</v>
      </c>
    </row>
    <row r="29" spans="2:23" x14ac:dyDescent="0.2">
      <c r="B29" s="8" t="s">
        <v>258</v>
      </c>
      <c r="N29" s="8" t="s">
        <v>358</v>
      </c>
    </row>
    <row r="30" spans="2:23" x14ac:dyDescent="0.2">
      <c r="B30" s="8" t="s">
        <v>272</v>
      </c>
    </row>
    <row r="31" spans="2:23" x14ac:dyDescent="0.2">
      <c r="B31" s="8" t="s">
        <v>273</v>
      </c>
      <c r="N31" s="8" t="s">
        <v>380</v>
      </c>
    </row>
    <row r="32" spans="2:23" x14ac:dyDescent="0.2">
      <c r="B32" s="8" t="s">
        <v>259</v>
      </c>
    </row>
    <row r="33" spans="2:23" ht="14.25" x14ac:dyDescent="0.2">
      <c r="B33" s="9" t="s">
        <v>182</v>
      </c>
      <c r="N33" s="72" t="s">
        <v>381</v>
      </c>
      <c r="O33" s="72"/>
      <c r="P33" s="72"/>
      <c r="Q33" s="72"/>
      <c r="R33" s="72"/>
      <c r="S33" s="72"/>
      <c r="T33" s="72"/>
      <c r="U33" s="73">
        <f>_OET4</f>
        <v>12671.67</v>
      </c>
      <c r="W33" s="8">
        <f>_OET4</f>
        <v>12671.67</v>
      </c>
    </row>
    <row r="34" spans="2:23" ht="14.25" x14ac:dyDescent="0.2">
      <c r="N34" s="72" t="s">
        <v>382</v>
      </c>
      <c r="O34" s="72"/>
      <c r="P34" s="72"/>
      <c r="Q34" s="72"/>
      <c r="R34" s="72"/>
      <c r="S34" s="72"/>
      <c r="T34" s="72"/>
      <c r="U34" s="73">
        <f>TOTE</f>
        <v>11725.765656565658</v>
      </c>
      <c r="W34" s="8">
        <f>TOTE</f>
        <v>11725.765656565658</v>
      </c>
    </row>
    <row r="35" spans="2:23" ht="14.25" x14ac:dyDescent="0.2">
      <c r="B35" s="8" t="s">
        <v>311</v>
      </c>
      <c r="N35" s="72" t="s">
        <v>391</v>
      </c>
      <c r="O35" s="72"/>
      <c r="P35" s="72"/>
      <c r="Q35" s="72"/>
      <c r="R35" s="72"/>
      <c r="S35" s="72"/>
      <c r="T35" s="72"/>
      <c r="U35" s="73">
        <f>CTY</f>
        <v>605.79999999999995</v>
      </c>
      <c r="W35" s="8">
        <f>CTY</f>
        <v>605.79999999999995</v>
      </c>
    </row>
    <row r="36" spans="2:23" ht="14.25" x14ac:dyDescent="0.2">
      <c r="N36" s="72" t="s">
        <v>392</v>
      </c>
      <c r="O36" s="72"/>
      <c r="P36" s="72"/>
      <c r="Q36" s="72"/>
      <c r="R36" s="72"/>
      <c r="S36" s="72"/>
      <c r="T36" s="72"/>
      <c r="U36" s="73">
        <f>GTOT</f>
        <v>22789</v>
      </c>
      <c r="W36" s="8">
        <f>GTOT</f>
        <v>22789</v>
      </c>
    </row>
    <row r="37" spans="2:23" ht="14.25" x14ac:dyDescent="0.2">
      <c r="B37" s="8" t="s">
        <v>260</v>
      </c>
      <c r="N37" s="72" t="s">
        <v>393</v>
      </c>
      <c r="O37" s="72"/>
      <c r="P37" s="72"/>
      <c r="Q37" s="72"/>
      <c r="R37" s="72"/>
      <c r="S37" s="72"/>
      <c r="T37" s="72"/>
      <c r="U37" s="73">
        <f>COMTOT</f>
        <v>11888</v>
      </c>
      <c r="W37" s="8">
        <f>COMTOT</f>
        <v>11888</v>
      </c>
    </row>
    <row r="38" spans="2:23" ht="14.25" x14ac:dyDescent="0.2">
      <c r="B38" s="8" t="s">
        <v>261</v>
      </c>
      <c r="N38" s="72" t="s">
        <v>394</v>
      </c>
      <c r="O38" s="72"/>
      <c r="P38" s="72"/>
      <c r="Q38" s="72"/>
      <c r="R38" s="72"/>
      <c r="S38" s="72"/>
      <c r="T38" s="72"/>
      <c r="U38" s="73">
        <f>TOTVT</f>
        <v>217949.2</v>
      </c>
      <c r="W38" s="8">
        <f>SUM(W33:W37)</f>
        <v>59680.235656565652</v>
      </c>
    </row>
    <row r="40" spans="2:23" x14ac:dyDescent="0.2">
      <c r="B40" s="8" t="s">
        <v>262</v>
      </c>
    </row>
    <row r="41" spans="2:23" x14ac:dyDescent="0.2"/>
    <row r="47" spans="2:23" ht="13.5" thickBot="1" x14ac:dyDescent="0.25"/>
    <row r="48" spans="2:23" x14ac:dyDescent="0.2">
      <c r="B48" s="9" t="s">
        <v>95</v>
      </c>
      <c r="J48" s="12">
        <v>90000</v>
      </c>
      <c r="K48" s="15" t="s">
        <v>183</v>
      </c>
    </row>
    <row r="49" spans="2:13" x14ac:dyDescent="0.2">
      <c r="B49" s="9" t="s">
        <v>132</v>
      </c>
      <c r="J49" s="13">
        <v>14542</v>
      </c>
      <c r="K49" s="15" t="s">
        <v>39</v>
      </c>
    </row>
    <row r="50" spans="2:13" x14ac:dyDescent="0.2">
      <c r="B50" s="9" t="s">
        <v>96</v>
      </c>
      <c r="J50" s="13">
        <v>4.43</v>
      </c>
      <c r="K50" s="15" t="s">
        <v>184</v>
      </c>
    </row>
    <row r="51" spans="2:13" ht="13.5" thickBot="1" x14ac:dyDescent="0.25">
      <c r="B51" s="9" t="s">
        <v>265</v>
      </c>
      <c r="J51" s="14">
        <v>480</v>
      </c>
      <c r="K51" s="15" t="s">
        <v>149</v>
      </c>
    </row>
    <row r="52" spans="2:13" x14ac:dyDescent="0.2">
      <c r="I52" s="11"/>
    </row>
    <row r="54" spans="2:13" x14ac:dyDescent="0.2">
      <c r="B54" s="8" t="s">
        <v>271</v>
      </c>
    </row>
    <row r="55" spans="2:13" x14ac:dyDescent="0.2">
      <c r="B55" s="8" t="s">
        <v>266</v>
      </c>
    </row>
    <row r="56" spans="2:13" x14ac:dyDescent="0.2">
      <c r="B56" s="8" t="s">
        <v>267</v>
      </c>
    </row>
    <row r="57" spans="2:13" x14ac:dyDescent="0.2">
      <c r="B57" s="8" t="s">
        <v>268</v>
      </c>
    </row>
    <row r="59" spans="2:13" x14ac:dyDescent="0.2">
      <c r="B59" s="8" t="s">
        <v>269</v>
      </c>
    </row>
    <row r="60" spans="2:13" x14ac:dyDescent="0.2">
      <c r="B60" s="8" t="s">
        <v>270</v>
      </c>
    </row>
    <row r="61" spans="2:13" ht="13.5" thickBot="1" x14ac:dyDescent="0.25"/>
    <row r="62" spans="2:13" ht="13.5" thickBot="1" x14ac:dyDescent="0.25">
      <c r="B62" s="9" t="s">
        <v>245</v>
      </c>
      <c r="K62" s="16">
        <f>CTY+_OET4+TOTE+COMTOT+TOTVT</f>
        <v>254840.43565656568</v>
      </c>
      <c r="L62" s="8" t="s">
        <v>246</v>
      </c>
      <c r="M62" s="8" t="s">
        <v>379</v>
      </c>
    </row>
    <row r="63" spans="2:13" x14ac:dyDescent="0.2">
      <c r="B63" s="8" t="s">
        <v>277</v>
      </c>
      <c r="K63" s="17">
        <f>SUM(GTTL/J48)</f>
        <v>2.831560396184063</v>
      </c>
    </row>
    <row r="64" spans="2:13" x14ac:dyDescent="0.2">
      <c r="B64" s="8" t="s">
        <v>274</v>
      </c>
      <c r="K64" s="18">
        <f>SUM(GTTL/J49)</f>
        <v>17.524442006365401</v>
      </c>
    </row>
    <row r="65" spans="2:11" x14ac:dyDescent="0.2">
      <c r="B65" s="8" t="s">
        <v>275</v>
      </c>
      <c r="K65" s="18">
        <f>SUM(GTTL/J50)</f>
        <v>57526.057710285713</v>
      </c>
    </row>
    <row r="66" spans="2:11" ht="13.5" thickBot="1" x14ac:dyDescent="0.25">
      <c r="B66" s="8" t="s">
        <v>276</v>
      </c>
      <c r="K66" s="19">
        <f>SUM(GTTL/J51)</f>
        <v>530.91757428451183</v>
      </c>
    </row>
    <row r="68" spans="2:11" x14ac:dyDescent="0.2">
      <c r="B68" s="8" t="s">
        <v>358</v>
      </c>
    </row>
    <row r="70" spans="2:11" x14ac:dyDescent="0.2">
      <c r="B70" s="8" t="s">
        <v>380</v>
      </c>
    </row>
    <row r="72" spans="2:11" x14ac:dyDescent="0.2">
      <c r="B72" s="8" t="s">
        <v>381</v>
      </c>
      <c r="I72" s="59">
        <f>_OET4</f>
        <v>12671.67</v>
      </c>
      <c r="K72" s="59">
        <f>_OET4</f>
        <v>12671.67</v>
      </c>
    </row>
    <row r="73" spans="2:11" x14ac:dyDescent="0.2">
      <c r="B73" s="8" t="s">
        <v>382</v>
      </c>
      <c r="I73" s="59">
        <f>TOTE</f>
        <v>11725.765656565658</v>
      </c>
      <c r="K73" s="59">
        <f>TOTE</f>
        <v>11725.765656565658</v>
      </c>
    </row>
    <row r="74" spans="2:11" x14ac:dyDescent="0.2">
      <c r="B74" s="8" t="s">
        <v>391</v>
      </c>
      <c r="I74" s="59">
        <f>CTY</f>
        <v>605.79999999999995</v>
      </c>
      <c r="K74" s="59">
        <f>CTY</f>
        <v>605.79999999999995</v>
      </c>
    </row>
    <row r="75" spans="2:11" x14ac:dyDescent="0.2">
      <c r="B75" s="8" t="s">
        <v>392</v>
      </c>
      <c r="I75" s="8">
        <f>GTOT</f>
        <v>22789</v>
      </c>
      <c r="K75" s="8">
        <f>GTOT</f>
        <v>22789</v>
      </c>
    </row>
    <row r="76" spans="2:11" x14ac:dyDescent="0.2">
      <c r="B76" s="8" t="s">
        <v>393</v>
      </c>
      <c r="I76" s="8">
        <f>COMTOT</f>
        <v>11888</v>
      </c>
      <c r="K76" s="8">
        <f>COMTOT</f>
        <v>11888</v>
      </c>
    </row>
    <row r="77" spans="2:11" x14ac:dyDescent="0.2">
      <c r="B77" s="8" t="s">
        <v>394</v>
      </c>
      <c r="I77" s="59">
        <f>TOTVT</f>
        <v>217949.2</v>
      </c>
      <c r="K77" s="69">
        <f>SUM(K72:K76)</f>
        <v>59680.235656565652</v>
      </c>
    </row>
    <row r="79" spans="2:11" x14ac:dyDescent="0.2">
      <c r="B79" s="8" t="s">
        <v>398</v>
      </c>
    </row>
    <row r="80" spans="2:11" x14ac:dyDescent="0.2">
      <c r="B80" s="8" t="s">
        <v>399</v>
      </c>
    </row>
  </sheetData>
  <customSheetViews>
    <customSheetView guid="{5DDB5E46-F5AF-4025-A0A8-B64361C1F352}" scale="80" showGridLines="0">
      <selection activeCell="K49" sqref="K49"/>
      <pageMargins left="0.75" right="0.75" top="1" bottom="1" header="0.5" footer="0.5"/>
      <pageSetup paperSize="9" orientation="landscape" horizontalDpi="4294967293" verticalDpi="4294967293" r:id="rId1"/>
      <headerFooter alignWithMargins="0"/>
    </customSheetView>
    <customSheetView guid="{7F8786F5-02F7-433D-98AC-0C6AE08AD9EF}" showRuler="0" topLeftCell="A36">
      <selection activeCell="F67" sqref="F67"/>
      <pageMargins left="0.75" right="0.75" top="1" bottom="1" header="0.5" footer="0.5"/>
      <pageSetup paperSize="9" orientation="landscape" horizontalDpi="0" verticalDpi="0" r:id="rId2"/>
      <headerFooter alignWithMargins="0"/>
    </customSheetView>
  </customSheetViews>
  <phoneticPr fontId="2" type="noConversion"/>
  <pageMargins left="0.75" right="0.75" top="1" bottom="1" header="0.5" footer="0.5"/>
  <pageSetup paperSize="9" orientation="landscape" horizontalDpi="4294967293" verticalDpi="4294967293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zoomScale="70" zoomScaleNormal="70" workbookViewId="0">
      <selection activeCell="I29" sqref="I29"/>
    </sheetView>
  </sheetViews>
  <sheetFormatPr defaultRowHeight="12.75" x14ac:dyDescent="0.2"/>
  <cols>
    <col min="1" max="1" width="10.42578125" customWidth="1"/>
  </cols>
  <sheetData>
    <row r="1" spans="1:12" x14ac:dyDescent="0.2">
      <c r="A1" s="8"/>
      <c r="B1" s="8"/>
      <c r="C1" s="8"/>
      <c r="D1" s="8"/>
      <c r="E1" s="8"/>
      <c r="F1" s="8"/>
      <c r="G1" s="8"/>
      <c r="H1" s="8"/>
      <c r="I1" s="8"/>
      <c r="J1" s="8"/>
    </row>
    <row r="2" spans="1:12" x14ac:dyDescent="0.2">
      <c r="A2" s="8"/>
      <c r="B2" s="8"/>
      <c r="C2" s="8"/>
      <c r="D2" s="8"/>
      <c r="E2" s="8"/>
      <c r="F2" s="8"/>
      <c r="G2" s="8"/>
      <c r="H2" s="8"/>
      <c r="I2" s="8"/>
      <c r="J2" s="8"/>
    </row>
    <row r="3" spans="1:12" x14ac:dyDescent="0.2">
      <c r="A3" s="8"/>
      <c r="B3" s="8"/>
      <c r="C3" s="8"/>
      <c r="D3" s="8"/>
      <c r="E3" s="8"/>
      <c r="F3" s="8"/>
      <c r="G3" s="8"/>
      <c r="H3" s="8"/>
      <c r="I3" s="8"/>
      <c r="J3" s="8"/>
    </row>
    <row r="4" spans="1:12" x14ac:dyDescent="0.2">
      <c r="A4" s="8"/>
      <c r="B4" s="8"/>
      <c r="C4" s="8"/>
      <c r="D4" s="8"/>
      <c r="E4" s="8"/>
      <c r="F4" s="8"/>
      <c r="G4" s="8"/>
      <c r="H4" s="8"/>
      <c r="I4" s="8"/>
      <c r="J4" s="8"/>
    </row>
    <row r="5" spans="1:12" ht="19.5" x14ac:dyDescent="0.25">
      <c r="A5" s="8"/>
      <c r="B5" s="8"/>
      <c r="C5" s="8"/>
      <c r="D5" s="10" t="s">
        <v>248</v>
      </c>
      <c r="E5" s="10"/>
      <c r="F5" s="10"/>
      <c r="G5" s="10"/>
      <c r="H5" s="10"/>
      <c r="I5" s="10"/>
      <c r="J5" s="10"/>
    </row>
    <row r="6" spans="1:12" x14ac:dyDescent="0.2">
      <c r="A6" s="8"/>
      <c r="B6" s="8"/>
      <c r="C6" s="8"/>
      <c r="D6" s="9" t="s">
        <v>352</v>
      </c>
      <c r="E6" s="8"/>
      <c r="F6" s="8"/>
      <c r="G6" s="8"/>
      <c r="H6" s="8"/>
      <c r="I6" s="8"/>
      <c r="J6" s="8"/>
    </row>
    <row r="7" spans="1:12" x14ac:dyDescent="0.2">
      <c r="A7" s="8"/>
      <c r="B7" s="8"/>
      <c r="C7" s="8"/>
      <c r="D7" s="8"/>
      <c r="E7" s="8"/>
      <c r="F7" s="8"/>
      <c r="G7" s="8"/>
      <c r="H7" s="8"/>
      <c r="I7" s="8"/>
      <c r="J7" s="8"/>
    </row>
    <row r="8" spans="1:12" x14ac:dyDescent="0.2">
      <c r="A8" s="8"/>
      <c r="B8" s="8"/>
      <c r="C8" s="8"/>
      <c r="D8" s="8"/>
      <c r="E8" s="8"/>
      <c r="F8" s="8"/>
      <c r="G8" s="8"/>
      <c r="H8" s="8"/>
      <c r="I8" s="8"/>
      <c r="J8" s="8"/>
    </row>
    <row r="9" spans="1:12" x14ac:dyDescent="0.2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2" x14ac:dyDescent="0.2">
      <c r="B10" t="s">
        <v>353</v>
      </c>
    </row>
    <row r="11" spans="1:12" x14ac:dyDescent="0.2">
      <c r="B11" t="s">
        <v>354</v>
      </c>
    </row>
    <row r="12" spans="1:12" x14ac:dyDescent="0.2">
      <c r="B12" t="s">
        <v>360</v>
      </c>
    </row>
    <row r="14" spans="1:12" x14ac:dyDescent="0.2">
      <c r="A14" s="7" t="s">
        <v>234</v>
      </c>
      <c r="B14" s="7" t="s">
        <v>355</v>
      </c>
    </row>
    <row r="15" spans="1:12" ht="13.5" thickBot="1" x14ac:dyDescent="0.25"/>
    <row r="16" spans="1:12" ht="13.5" thickBot="1" x14ac:dyDescent="0.25">
      <c r="B16" t="s">
        <v>202</v>
      </c>
      <c r="K16" s="56">
        <f>B67</f>
        <v>15.6</v>
      </c>
      <c r="L16" t="s">
        <v>217</v>
      </c>
    </row>
    <row r="17" spans="1:12" x14ac:dyDescent="0.2">
      <c r="A17" t="s">
        <v>203</v>
      </c>
      <c r="B17" s="1">
        <v>15.6</v>
      </c>
    </row>
    <row r="18" spans="1:12" x14ac:dyDescent="0.2">
      <c r="A18" t="s">
        <v>204</v>
      </c>
      <c r="B18" s="1"/>
      <c r="D18" s="7" t="s">
        <v>235</v>
      </c>
      <c r="J18" t="s">
        <v>361</v>
      </c>
    </row>
    <row r="19" spans="1:12" ht="13.5" thickBot="1" x14ac:dyDescent="0.25">
      <c r="A19" t="s">
        <v>205</v>
      </c>
      <c r="B19" s="1"/>
    </row>
    <row r="20" spans="1:12" ht="13.5" thickBot="1" x14ac:dyDescent="0.25">
      <c r="A20" t="s">
        <v>62</v>
      </c>
      <c r="B20" s="1"/>
      <c r="D20" t="s">
        <v>223</v>
      </c>
      <c r="K20" s="56">
        <f>D70</f>
        <v>27.3</v>
      </c>
      <c r="L20" t="s">
        <v>236</v>
      </c>
    </row>
    <row r="21" spans="1:12" x14ac:dyDescent="0.2">
      <c r="A21" t="s">
        <v>238</v>
      </c>
      <c r="B21" s="1"/>
      <c r="C21" t="s">
        <v>203</v>
      </c>
      <c r="D21" s="1">
        <v>27.3</v>
      </c>
    </row>
    <row r="22" spans="1:12" x14ac:dyDescent="0.2">
      <c r="B22" s="1"/>
      <c r="C22" t="s">
        <v>204</v>
      </c>
      <c r="D22" s="1"/>
      <c r="F22" s="7" t="s">
        <v>237</v>
      </c>
    </row>
    <row r="23" spans="1:12" ht="13.5" thickBot="1" x14ac:dyDescent="0.25">
      <c r="B23" s="1"/>
      <c r="C23" t="s">
        <v>205</v>
      </c>
      <c r="D23" s="1"/>
      <c r="F23" t="s">
        <v>357</v>
      </c>
    </row>
    <row r="24" spans="1:12" ht="13.5" thickBot="1" x14ac:dyDescent="0.25">
      <c r="B24" s="1"/>
      <c r="C24" t="s">
        <v>62</v>
      </c>
      <c r="D24" s="1"/>
      <c r="K24" s="56">
        <f>G46</f>
        <v>4.55</v>
      </c>
      <c r="L24" t="s">
        <v>239</v>
      </c>
    </row>
    <row r="25" spans="1:12" x14ac:dyDescent="0.2">
      <c r="B25" s="1"/>
      <c r="C25" t="s">
        <v>238</v>
      </c>
      <c r="D25" s="1"/>
      <c r="G25" t="s">
        <v>232</v>
      </c>
    </row>
    <row r="26" spans="1:12" x14ac:dyDescent="0.2">
      <c r="B26" s="1"/>
      <c r="D26" s="1"/>
      <c r="F26" t="s">
        <v>203</v>
      </c>
      <c r="G26" s="1">
        <v>4.55</v>
      </c>
    </row>
    <row r="27" spans="1:12" x14ac:dyDescent="0.2">
      <c r="B27" s="1"/>
      <c r="D27" s="1"/>
      <c r="F27" t="s">
        <v>204</v>
      </c>
      <c r="G27" s="1"/>
    </row>
    <row r="28" spans="1:12" x14ac:dyDescent="0.2">
      <c r="B28" s="1"/>
      <c r="D28" s="1"/>
      <c r="F28" t="s">
        <v>205</v>
      </c>
      <c r="G28" s="1"/>
    </row>
    <row r="29" spans="1:12" x14ac:dyDescent="0.2">
      <c r="B29" s="1"/>
      <c r="D29" s="1"/>
      <c r="F29" t="s">
        <v>62</v>
      </c>
      <c r="G29" s="1"/>
    </row>
    <row r="30" spans="1:12" x14ac:dyDescent="0.2">
      <c r="B30" s="1"/>
      <c r="D30" s="1"/>
      <c r="F30" t="s">
        <v>238</v>
      </c>
      <c r="G30" s="1"/>
    </row>
    <row r="31" spans="1:12" x14ac:dyDescent="0.2">
      <c r="B31" s="1"/>
      <c r="D31" s="1"/>
      <c r="G31" s="1"/>
    </row>
    <row r="32" spans="1:12" x14ac:dyDescent="0.2">
      <c r="B32" s="1"/>
      <c r="D32" s="1"/>
      <c r="G32" s="1"/>
    </row>
    <row r="33" spans="2:7" x14ac:dyDescent="0.2">
      <c r="B33" s="1"/>
      <c r="D33" s="1"/>
      <c r="G33" s="1"/>
    </row>
    <row r="34" spans="2:7" x14ac:dyDescent="0.2">
      <c r="B34" s="1"/>
      <c r="D34" s="1"/>
      <c r="G34" s="1"/>
    </row>
    <row r="35" spans="2:7" x14ac:dyDescent="0.2">
      <c r="B35" s="1"/>
      <c r="D35" s="1"/>
      <c r="G35" s="1"/>
    </row>
    <row r="36" spans="2:7" x14ac:dyDescent="0.2">
      <c r="B36" s="1"/>
      <c r="D36" s="1"/>
      <c r="G36" s="1"/>
    </row>
    <row r="37" spans="2:7" x14ac:dyDescent="0.2">
      <c r="B37" s="1"/>
      <c r="D37" s="1"/>
      <c r="G37" s="1"/>
    </row>
    <row r="38" spans="2:7" x14ac:dyDescent="0.2">
      <c r="B38" s="1"/>
      <c r="D38" s="1"/>
      <c r="G38" s="1"/>
    </row>
    <row r="39" spans="2:7" x14ac:dyDescent="0.2">
      <c r="B39" s="1"/>
      <c r="D39" s="1"/>
      <c r="G39" s="1"/>
    </row>
    <row r="40" spans="2:7" x14ac:dyDescent="0.2">
      <c r="B40" s="1"/>
      <c r="D40" s="1"/>
      <c r="G40" s="1"/>
    </row>
    <row r="41" spans="2:7" x14ac:dyDescent="0.2">
      <c r="B41" s="1"/>
      <c r="D41" s="1"/>
      <c r="G41" s="1"/>
    </row>
    <row r="42" spans="2:7" x14ac:dyDescent="0.2">
      <c r="B42" s="1"/>
      <c r="D42" s="1"/>
      <c r="G42" s="1"/>
    </row>
    <row r="43" spans="2:7" x14ac:dyDescent="0.2">
      <c r="B43" s="1"/>
      <c r="D43" s="1"/>
      <c r="G43" s="1"/>
    </row>
    <row r="44" spans="2:7" x14ac:dyDescent="0.2">
      <c r="B44" s="1"/>
      <c r="D44" s="1"/>
      <c r="G44" s="1"/>
    </row>
    <row r="45" spans="2:7" ht="13.5" thickBot="1" x14ac:dyDescent="0.25">
      <c r="B45" s="1"/>
      <c r="D45" s="1"/>
      <c r="G45" s="5"/>
    </row>
    <row r="46" spans="2:7" ht="13.5" thickBot="1" x14ac:dyDescent="0.25">
      <c r="B46" s="1"/>
      <c r="D46" s="1"/>
      <c r="F46" t="s">
        <v>356</v>
      </c>
      <c r="G46" s="57">
        <f>AVERAGE(G26:G44)</f>
        <v>4.55</v>
      </c>
    </row>
    <row r="47" spans="2:7" x14ac:dyDescent="0.2">
      <c r="B47" s="1"/>
      <c r="D47" s="1"/>
      <c r="G47" s="5"/>
    </row>
    <row r="48" spans="2:7" x14ac:dyDescent="0.2">
      <c r="B48" s="1"/>
      <c r="D48" s="1"/>
      <c r="G48" s="5"/>
    </row>
    <row r="49" spans="2:7" x14ac:dyDescent="0.2">
      <c r="B49" s="1"/>
      <c r="D49" s="1"/>
      <c r="G49" s="5"/>
    </row>
    <row r="50" spans="2:7" x14ac:dyDescent="0.2">
      <c r="B50" s="1"/>
      <c r="D50" s="1"/>
      <c r="G50" s="5"/>
    </row>
    <row r="51" spans="2:7" x14ac:dyDescent="0.2">
      <c r="B51" s="1"/>
      <c r="D51" s="1"/>
      <c r="G51" s="5"/>
    </row>
    <row r="52" spans="2:7" x14ac:dyDescent="0.2">
      <c r="B52" s="1"/>
      <c r="D52" s="1"/>
      <c r="G52" s="5"/>
    </row>
    <row r="53" spans="2:7" x14ac:dyDescent="0.2">
      <c r="B53" s="1"/>
      <c r="D53" s="1"/>
      <c r="G53" s="5"/>
    </row>
    <row r="54" spans="2:7" x14ac:dyDescent="0.2">
      <c r="B54" s="1"/>
      <c r="D54" s="1"/>
      <c r="G54" s="5"/>
    </row>
    <row r="55" spans="2:7" x14ac:dyDescent="0.2">
      <c r="B55" s="1"/>
      <c r="D55" s="1"/>
      <c r="G55" s="5"/>
    </row>
    <row r="56" spans="2:7" x14ac:dyDescent="0.2">
      <c r="B56" s="1"/>
      <c r="D56" s="1"/>
      <c r="G56" s="5"/>
    </row>
    <row r="57" spans="2:7" x14ac:dyDescent="0.2">
      <c r="B57" s="1"/>
      <c r="D57" s="1"/>
      <c r="G57" s="5"/>
    </row>
    <row r="58" spans="2:7" x14ac:dyDescent="0.2">
      <c r="B58" s="1"/>
      <c r="D58" s="1"/>
      <c r="G58" s="5"/>
    </row>
    <row r="59" spans="2:7" x14ac:dyDescent="0.2">
      <c r="B59" s="1"/>
      <c r="D59" s="1"/>
      <c r="G59" s="5"/>
    </row>
    <row r="60" spans="2:7" x14ac:dyDescent="0.2">
      <c r="B60" s="1"/>
      <c r="D60" s="1"/>
      <c r="G60" s="5"/>
    </row>
    <row r="61" spans="2:7" x14ac:dyDescent="0.2">
      <c r="B61" s="1"/>
      <c r="D61" s="1"/>
      <c r="G61" s="5"/>
    </row>
    <row r="62" spans="2:7" x14ac:dyDescent="0.2">
      <c r="B62" s="1"/>
      <c r="D62" s="1"/>
      <c r="G62" s="5"/>
    </row>
    <row r="63" spans="2:7" x14ac:dyDescent="0.2">
      <c r="B63" s="1"/>
      <c r="D63" s="1"/>
      <c r="G63" s="5"/>
    </row>
    <row r="64" spans="2:7" x14ac:dyDescent="0.2">
      <c r="B64" s="1"/>
      <c r="D64" s="1"/>
      <c r="G64" s="5"/>
    </row>
    <row r="65" spans="1:7" x14ac:dyDescent="0.2">
      <c r="B65" s="1"/>
      <c r="D65" s="1"/>
      <c r="G65" s="5"/>
    </row>
    <row r="66" spans="1:7" ht="13.5" thickBot="1" x14ac:dyDescent="0.25">
      <c r="D66" s="1"/>
      <c r="G66" s="5"/>
    </row>
    <row r="67" spans="1:7" ht="13.5" thickBot="1" x14ac:dyDescent="0.25">
      <c r="A67" t="s">
        <v>356</v>
      </c>
      <c r="B67" s="57">
        <f>AVERAGE(B17:B65)</f>
        <v>15.6</v>
      </c>
      <c r="D67" s="1"/>
      <c r="G67" s="5"/>
    </row>
    <row r="68" spans="1:7" x14ac:dyDescent="0.2">
      <c r="D68" s="1"/>
      <c r="G68" s="5"/>
    </row>
    <row r="69" spans="1:7" ht="13.5" thickBot="1" x14ac:dyDescent="0.25">
      <c r="G69" s="5"/>
    </row>
    <row r="70" spans="1:7" ht="13.5" thickBot="1" x14ac:dyDescent="0.25">
      <c r="C70" t="s">
        <v>356</v>
      </c>
      <c r="D70" s="57">
        <f>AVERAGE(D21:D68)</f>
        <v>27.3</v>
      </c>
      <c r="G70" s="5"/>
    </row>
    <row r="71" spans="1:7" x14ac:dyDescent="0.2">
      <c r="G71" s="5"/>
    </row>
    <row r="72" spans="1:7" x14ac:dyDescent="0.2">
      <c r="G72" s="5"/>
    </row>
    <row r="73" spans="1:7" x14ac:dyDescent="0.2">
      <c r="G73" s="5"/>
    </row>
    <row r="74" spans="1:7" x14ac:dyDescent="0.2">
      <c r="G74" s="5"/>
    </row>
  </sheetData>
  <customSheetViews>
    <customSheetView guid="{5DDB5E46-F5AF-4025-A0A8-B64361C1F352}" scale="70">
      <selection activeCell="I29" sqref="I29"/>
      <pageMargins left="0.75" right="0.75" top="1" bottom="1" header="0.5" footer="0.5"/>
      <pageSetup paperSize="9" scale="70" orientation="landscape" horizontalDpi="0" verticalDpi="0" r:id="rId1"/>
      <headerFooter alignWithMargins="0"/>
    </customSheetView>
    <customSheetView guid="{7F8786F5-02F7-433D-98AC-0C6AE08AD9EF}" showRuler="0" topLeftCell="A19">
      <selection activeCell="I29" sqref="I29"/>
      <pageMargins left="0.75" right="0.75" top="1" bottom="1" header="0.5" footer="0.5"/>
      <pageSetup paperSize="9" scale="70" orientation="landscape" horizontalDpi="0" verticalDpi="0" r:id="rId2"/>
      <headerFooter alignWithMargins="0"/>
    </customSheetView>
  </customSheetViews>
  <phoneticPr fontId="2" type="noConversion"/>
  <pageMargins left="0.75" right="0.75" top="1" bottom="1" header="0.5" footer="0.5"/>
  <pageSetup paperSize="9" scale="70" orientation="landscape" horizontalDpi="0" verticalDpi="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42"/>
  <sheetViews>
    <sheetView topLeftCell="A13" workbookViewId="0">
      <selection activeCell="B40" sqref="B40:C40"/>
    </sheetView>
  </sheetViews>
  <sheetFormatPr defaultRowHeight="12.75" x14ac:dyDescent="0.2"/>
  <sheetData>
    <row r="3" spans="2:3" x14ac:dyDescent="0.2">
      <c r="B3" t="s">
        <v>183</v>
      </c>
      <c r="C3" t="s">
        <v>400</v>
      </c>
    </row>
    <row r="4" spans="2:3" x14ac:dyDescent="0.2">
      <c r="B4" t="s">
        <v>39</v>
      </c>
      <c r="C4" t="s">
        <v>19</v>
      </c>
    </row>
    <row r="5" spans="2:3" x14ac:dyDescent="0.2">
      <c r="B5" t="s">
        <v>184</v>
      </c>
      <c r="C5" t="s">
        <v>401</v>
      </c>
    </row>
    <row r="6" spans="2:3" x14ac:dyDescent="0.2">
      <c r="B6" t="s">
        <v>149</v>
      </c>
      <c r="C6" t="s">
        <v>402</v>
      </c>
    </row>
    <row r="7" spans="2:3" x14ac:dyDescent="0.2">
      <c r="B7" t="s">
        <v>246</v>
      </c>
      <c r="C7" t="s">
        <v>403</v>
      </c>
    </row>
    <row r="8" spans="2:3" x14ac:dyDescent="0.2">
      <c r="B8" s="8" t="s">
        <v>36</v>
      </c>
      <c r="C8" s="8" t="s">
        <v>127</v>
      </c>
    </row>
    <row r="9" spans="2:3" x14ac:dyDescent="0.2">
      <c r="B9" s="8" t="s">
        <v>48</v>
      </c>
      <c r="C9" s="8" t="s">
        <v>88</v>
      </c>
    </row>
    <row r="10" spans="2:3" x14ac:dyDescent="0.2">
      <c r="B10" s="8" t="s">
        <v>34</v>
      </c>
      <c r="C10" s="8" t="s">
        <v>20</v>
      </c>
    </row>
    <row r="11" spans="2:3" x14ac:dyDescent="0.2">
      <c r="B11" s="8" t="s">
        <v>78</v>
      </c>
      <c r="C11" s="8" t="s">
        <v>81</v>
      </c>
    </row>
    <row r="12" spans="2:3" x14ac:dyDescent="0.2">
      <c r="B12" s="8" t="s">
        <v>79</v>
      </c>
      <c r="C12" s="8" t="s">
        <v>76</v>
      </c>
    </row>
    <row r="13" spans="2:3" x14ac:dyDescent="0.2">
      <c r="B13" s="8" t="s">
        <v>80</v>
      </c>
      <c r="C13" s="8" t="s">
        <v>77</v>
      </c>
    </row>
    <row r="14" spans="2:3" x14ac:dyDescent="0.2">
      <c r="B14" s="8" t="s">
        <v>87</v>
      </c>
      <c r="C14" s="8" t="s">
        <v>86</v>
      </c>
    </row>
    <row r="15" spans="2:3" x14ac:dyDescent="0.2">
      <c r="B15" s="8" t="s">
        <v>54</v>
      </c>
      <c r="C15" s="8" t="s">
        <v>206</v>
      </c>
    </row>
    <row r="16" spans="2:3" x14ac:dyDescent="0.2">
      <c r="B16" s="8" t="s">
        <v>37</v>
      </c>
      <c r="C16" s="8" t="s">
        <v>49</v>
      </c>
    </row>
    <row r="17" spans="2:5" x14ac:dyDescent="0.2">
      <c r="B17" s="8" t="s">
        <v>38</v>
      </c>
      <c r="C17" s="8" t="s">
        <v>57</v>
      </c>
    </row>
    <row r="18" spans="2:5" x14ac:dyDescent="0.2">
      <c r="B18" s="8" t="s">
        <v>39</v>
      </c>
      <c r="C18" s="8" t="s">
        <v>19</v>
      </c>
    </row>
    <row r="19" spans="2:5" x14ac:dyDescent="0.2">
      <c r="B19" s="8" t="s">
        <v>40</v>
      </c>
      <c r="C19" s="8" t="s">
        <v>64</v>
      </c>
    </row>
    <row r="20" spans="2:5" x14ac:dyDescent="0.2">
      <c r="B20" s="8" t="s">
        <v>41</v>
      </c>
      <c r="C20" s="8" t="s">
        <v>404</v>
      </c>
      <c r="D20" s="8" t="s">
        <v>123</v>
      </c>
    </row>
    <row r="21" spans="2:5" x14ac:dyDescent="0.2">
      <c r="B21" s="8" t="s">
        <v>62</v>
      </c>
      <c r="C21" s="8" t="s">
        <v>60</v>
      </c>
    </row>
    <row r="22" spans="2:5" x14ac:dyDescent="0.2">
      <c r="B22" s="8" t="s">
        <v>63</v>
      </c>
      <c r="C22" s="8" t="s">
        <v>61</v>
      </c>
    </row>
    <row r="23" spans="2:5" x14ac:dyDescent="0.2">
      <c r="B23" s="8" t="s">
        <v>51</v>
      </c>
      <c r="C23" t="s">
        <v>405</v>
      </c>
      <c r="E23" s="8" t="s">
        <v>127</v>
      </c>
    </row>
    <row r="24" spans="2:5" x14ac:dyDescent="0.2">
      <c r="B24" s="8" t="s">
        <v>52</v>
      </c>
      <c r="C24" t="s">
        <v>405</v>
      </c>
      <c r="E24" s="8" t="s">
        <v>88</v>
      </c>
    </row>
    <row r="25" spans="2:5" x14ac:dyDescent="0.2">
      <c r="B25" s="8" t="s">
        <v>53</v>
      </c>
      <c r="C25" t="s">
        <v>405</v>
      </c>
      <c r="E25" s="8" t="s">
        <v>20</v>
      </c>
    </row>
    <row r="26" spans="2:5" x14ac:dyDescent="0.2">
      <c r="B26" s="8" t="s">
        <v>83</v>
      </c>
      <c r="C26" t="s">
        <v>405</v>
      </c>
      <c r="E26" s="8" t="s">
        <v>81</v>
      </c>
    </row>
    <row r="27" spans="2:5" x14ac:dyDescent="0.2">
      <c r="B27" s="8" t="s">
        <v>84</v>
      </c>
      <c r="C27" t="s">
        <v>405</v>
      </c>
      <c r="E27" s="8" t="s">
        <v>76</v>
      </c>
    </row>
    <row r="28" spans="2:5" x14ac:dyDescent="0.2">
      <c r="B28" s="8" t="s">
        <v>85</v>
      </c>
      <c r="C28" t="s">
        <v>405</v>
      </c>
      <c r="E28" s="8" t="s">
        <v>77</v>
      </c>
    </row>
    <row r="29" spans="2:5" x14ac:dyDescent="0.2">
      <c r="B29" s="8" t="s">
        <v>87</v>
      </c>
      <c r="C29" t="s">
        <v>405</v>
      </c>
      <c r="E29" s="8" t="s">
        <v>86</v>
      </c>
    </row>
    <row r="30" spans="2:5" x14ac:dyDescent="0.2">
      <c r="B30" s="8" t="s">
        <v>56</v>
      </c>
      <c r="C30" t="s">
        <v>405</v>
      </c>
      <c r="E30" s="8" t="s">
        <v>206</v>
      </c>
    </row>
    <row r="31" spans="2:5" x14ac:dyDescent="0.2">
      <c r="B31" s="8" t="s">
        <v>55</v>
      </c>
      <c r="C31" t="s">
        <v>405</v>
      </c>
      <c r="E31" s="8" t="s">
        <v>49</v>
      </c>
    </row>
    <row r="32" spans="2:5" x14ac:dyDescent="0.2">
      <c r="B32" s="8" t="s">
        <v>59</v>
      </c>
      <c r="C32" t="s">
        <v>405</v>
      </c>
      <c r="E32" s="8" t="s">
        <v>57</v>
      </c>
    </row>
    <row r="33" spans="2:5" x14ac:dyDescent="0.2">
      <c r="B33" s="8" t="s">
        <v>67</v>
      </c>
      <c r="C33" t="s">
        <v>405</v>
      </c>
      <c r="E33" s="8" t="s">
        <v>60</v>
      </c>
    </row>
    <row r="34" spans="2:5" x14ac:dyDescent="0.2">
      <c r="B34" s="8" t="s">
        <v>68</v>
      </c>
      <c r="C34" t="s">
        <v>405</v>
      </c>
      <c r="E34" s="8" t="s">
        <v>61</v>
      </c>
    </row>
    <row r="35" spans="2:5" x14ac:dyDescent="0.2">
      <c r="B35" s="8" t="s">
        <v>72</v>
      </c>
      <c r="C35" s="8" t="s">
        <v>70</v>
      </c>
      <c r="E35" s="8"/>
    </row>
    <row r="36" spans="2:5" x14ac:dyDescent="0.2">
      <c r="B36" s="8" t="s">
        <v>73</v>
      </c>
      <c r="C36" s="8" t="s">
        <v>3</v>
      </c>
    </row>
    <row r="37" spans="2:5" x14ac:dyDescent="0.2">
      <c r="B37" s="8" t="s">
        <v>74</v>
      </c>
      <c r="C37" s="8" t="s">
        <v>71</v>
      </c>
    </row>
    <row r="38" spans="2:5" x14ac:dyDescent="0.2">
      <c r="B38" s="8" t="s">
        <v>75</v>
      </c>
      <c r="C38" s="8" t="s">
        <v>4</v>
      </c>
    </row>
    <row r="39" spans="2:5" x14ac:dyDescent="0.2">
      <c r="B39" s="8" t="s">
        <v>91</v>
      </c>
      <c r="C39" s="8" t="s">
        <v>90</v>
      </c>
    </row>
    <row r="40" spans="2:5" x14ac:dyDescent="0.2">
      <c r="B40" s="8" t="s">
        <v>93</v>
      </c>
      <c r="C40" s="8" t="s">
        <v>92</v>
      </c>
    </row>
    <row r="41" spans="2:5" x14ac:dyDescent="0.2">
      <c r="B41" s="8"/>
      <c r="C41" s="8"/>
    </row>
    <row r="42" spans="2:5" x14ac:dyDescent="0.2">
      <c r="B42" s="8"/>
      <c r="C42" s="8"/>
    </row>
  </sheetData>
  <customSheetViews>
    <customSheetView guid="{5DDB5E46-F5AF-4025-A0A8-B64361C1F352}" topLeftCell="A13">
      <selection activeCell="B40" sqref="B40:C40"/>
      <pageMargins left="0.75" right="0.75" top="1" bottom="1" header="0.5" footer="0.5"/>
      <headerFooter alignWithMargins="0"/>
    </customSheetView>
    <customSheetView guid="{7F8786F5-02F7-433D-98AC-0C6AE08AD9EF}" showRuler="0" topLeftCell="A13">
      <selection activeCell="B40" sqref="B40:C40"/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5"/>
  <sheetViews>
    <sheetView showGridLines="0" topLeftCell="A8" zoomScale="75" workbookViewId="0">
      <selection activeCell="E28" sqref="E28"/>
    </sheetView>
  </sheetViews>
  <sheetFormatPr defaultRowHeight="12.75" x14ac:dyDescent="0.2"/>
  <cols>
    <col min="2" max="2" width="34.5703125" customWidth="1"/>
    <col min="3" max="3" width="14.42578125" customWidth="1"/>
    <col min="4" max="4" width="9.5703125" bestFit="1" customWidth="1"/>
    <col min="9" max="9" width="12" customWidth="1"/>
    <col min="10" max="10" width="9.5703125" bestFit="1" customWidth="1"/>
    <col min="11" max="11" width="9.5703125" customWidth="1"/>
  </cols>
  <sheetData>
    <row r="1" spans="2:16" s="8" customFormat="1" x14ac:dyDescent="0.2"/>
    <row r="2" spans="2:16" s="8" customFormat="1" x14ac:dyDescent="0.2"/>
    <row r="3" spans="2:16" s="8" customFormat="1" x14ac:dyDescent="0.2"/>
    <row r="4" spans="2:16" s="8" customFormat="1" x14ac:dyDescent="0.2"/>
    <row r="5" spans="2:16" s="8" customFormat="1" ht="19.5" x14ac:dyDescent="0.25">
      <c r="C5" s="10" t="s">
        <v>248</v>
      </c>
    </row>
    <row r="6" spans="2:16" s="8" customFormat="1" x14ac:dyDescent="0.2">
      <c r="C6" s="9" t="s">
        <v>18</v>
      </c>
    </row>
    <row r="7" spans="2:16" s="8" customFormat="1" x14ac:dyDescent="0.2"/>
    <row r="8" spans="2:16" s="8" customFormat="1" x14ac:dyDescent="0.2"/>
    <row r="9" spans="2:16" s="8" customFormat="1" ht="15" customHeight="1" x14ac:dyDescent="0.2"/>
    <row r="10" spans="2:16" x14ac:dyDescent="0.2">
      <c r="B10" s="8" t="s">
        <v>278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2:16" x14ac:dyDescent="0.2">
      <c r="B11" s="8" t="s">
        <v>279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2:16" x14ac:dyDescent="0.2">
      <c r="B12" s="9" t="s">
        <v>89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2:16" x14ac:dyDescent="0.2">
      <c r="B13" s="8" t="s">
        <v>280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2:16" x14ac:dyDescent="0.2">
      <c r="B14" s="9" t="s">
        <v>122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2:16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2:16" x14ac:dyDescent="0.2">
      <c r="B16" s="8" t="s">
        <v>281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2:16" x14ac:dyDescent="0.2">
      <c r="B17" s="8" t="s">
        <v>282</v>
      </c>
      <c r="C17" s="8"/>
      <c r="D17" s="8"/>
      <c r="E17" s="8"/>
      <c r="F17" s="8" t="s">
        <v>283</v>
      </c>
      <c r="G17" s="8"/>
      <c r="H17" s="8"/>
      <c r="I17" s="8"/>
      <c r="J17" s="8"/>
      <c r="K17" s="8"/>
      <c r="L17" s="8"/>
      <c r="N17" s="8"/>
      <c r="O17" s="8"/>
      <c r="P17" s="8"/>
    </row>
    <row r="18" spans="2:16" ht="13.5" thickBot="1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N18" s="8"/>
      <c r="O18" s="8"/>
      <c r="P18" s="8"/>
    </row>
    <row r="19" spans="2:16" x14ac:dyDescent="0.2">
      <c r="B19" s="8" t="s">
        <v>127</v>
      </c>
      <c r="C19" s="8"/>
      <c r="D19" s="8"/>
      <c r="E19" s="8"/>
      <c r="F19" s="12">
        <v>0</v>
      </c>
      <c r="G19" s="8" t="s">
        <v>36</v>
      </c>
      <c r="H19" s="8" t="s">
        <v>128</v>
      </c>
      <c r="I19" s="30">
        <f>AGB/0.02*0.19</f>
        <v>0</v>
      </c>
      <c r="J19" s="8" t="s">
        <v>50</v>
      </c>
      <c r="K19" s="8" t="s">
        <v>51</v>
      </c>
      <c r="L19" s="8"/>
      <c r="N19" s="8"/>
      <c r="O19" s="8"/>
      <c r="P19" s="8"/>
    </row>
    <row r="20" spans="2:16" x14ac:dyDescent="0.2">
      <c r="B20" s="8" t="s">
        <v>88</v>
      </c>
      <c r="C20" s="8"/>
      <c r="D20" s="8"/>
      <c r="E20" s="8"/>
      <c r="F20" s="13">
        <v>1200</v>
      </c>
      <c r="G20" s="8" t="s">
        <v>48</v>
      </c>
      <c r="H20" s="8" t="s">
        <v>0</v>
      </c>
      <c r="I20" s="31">
        <f>AEB/0.1*0.45</f>
        <v>5400</v>
      </c>
      <c r="J20" s="8" t="s">
        <v>35</v>
      </c>
      <c r="K20" s="8" t="s">
        <v>52</v>
      </c>
      <c r="L20" s="8"/>
      <c r="N20" s="8"/>
      <c r="O20" s="8"/>
      <c r="P20" s="8"/>
    </row>
    <row r="21" spans="2:16" x14ac:dyDescent="0.2">
      <c r="B21" s="8" t="s">
        <v>20</v>
      </c>
      <c r="C21" s="8"/>
      <c r="D21" s="8"/>
      <c r="E21" s="8"/>
      <c r="F21" s="13">
        <v>1000</v>
      </c>
      <c r="G21" s="8" t="s">
        <v>34</v>
      </c>
      <c r="H21" s="8"/>
      <c r="I21" s="31">
        <f>MCV*0.3</f>
        <v>300</v>
      </c>
      <c r="J21" s="8" t="s">
        <v>82</v>
      </c>
      <c r="K21" s="8" t="s">
        <v>53</v>
      </c>
      <c r="L21" s="8" t="s">
        <v>284</v>
      </c>
      <c r="N21" s="8"/>
      <c r="O21" s="8"/>
      <c r="P21" s="8"/>
    </row>
    <row r="22" spans="2:16" x14ac:dyDescent="0.2">
      <c r="B22" s="8" t="s">
        <v>81</v>
      </c>
      <c r="C22" s="8"/>
      <c r="D22" s="8"/>
      <c r="E22" s="8"/>
      <c r="F22" s="13">
        <v>8000</v>
      </c>
      <c r="G22" s="8" t="s">
        <v>78</v>
      </c>
      <c r="H22" s="8"/>
      <c r="I22" s="31">
        <f>WTC*0.2</f>
        <v>1600</v>
      </c>
      <c r="J22" s="8" t="s">
        <v>65</v>
      </c>
      <c r="K22" s="8" t="s">
        <v>83</v>
      </c>
      <c r="L22" s="8"/>
      <c r="N22" s="8"/>
      <c r="O22" s="8"/>
      <c r="P22" s="8"/>
    </row>
    <row r="23" spans="2:16" x14ac:dyDescent="0.2">
      <c r="B23" s="8" t="s">
        <v>76</v>
      </c>
      <c r="C23" s="8"/>
      <c r="D23" s="8"/>
      <c r="E23" s="8"/>
      <c r="F23" s="13">
        <v>2000</v>
      </c>
      <c r="G23" s="8" t="s">
        <v>79</v>
      </c>
      <c r="H23" s="8"/>
      <c r="I23" s="31">
        <f>WTP*0.1</f>
        <v>200</v>
      </c>
      <c r="J23" s="8" t="s">
        <v>58</v>
      </c>
      <c r="K23" s="8" t="s">
        <v>84</v>
      </c>
      <c r="L23" s="8"/>
      <c r="N23" s="8"/>
      <c r="O23" s="8"/>
      <c r="P23" s="8"/>
    </row>
    <row r="24" spans="2:16" x14ac:dyDescent="0.2">
      <c r="B24" s="8" t="s">
        <v>77</v>
      </c>
      <c r="C24" s="8"/>
      <c r="D24" s="8"/>
      <c r="E24" s="8"/>
      <c r="F24" s="13">
        <v>0</v>
      </c>
      <c r="G24" s="8" t="s">
        <v>80</v>
      </c>
      <c r="H24" s="8"/>
      <c r="I24" s="31">
        <f>WTA*0.3</f>
        <v>0</v>
      </c>
      <c r="J24" s="8" t="s">
        <v>82</v>
      </c>
      <c r="K24" s="8" t="s">
        <v>85</v>
      </c>
      <c r="L24" s="8"/>
      <c r="N24" s="8"/>
      <c r="O24" s="8"/>
      <c r="P24" s="8"/>
    </row>
    <row r="25" spans="2:16" x14ac:dyDescent="0.2">
      <c r="B25" s="8" t="s">
        <v>86</v>
      </c>
      <c r="C25" s="8"/>
      <c r="D25" s="8"/>
      <c r="E25" s="8"/>
      <c r="F25" s="13"/>
      <c r="G25" s="8"/>
      <c r="H25" s="8"/>
      <c r="I25" s="31">
        <f>MCVR+WTCR+WTPR+WTAR</f>
        <v>2100</v>
      </c>
      <c r="J25" s="8"/>
      <c r="K25" s="8" t="s">
        <v>87</v>
      </c>
      <c r="L25" s="8"/>
      <c r="N25" s="8"/>
      <c r="O25" s="8"/>
      <c r="P25" s="8"/>
    </row>
    <row r="26" spans="2:16" x14ac:dyDescent="0.2">
      <c r="B26" s="8" t="s">
        <v>206</v>
      </c>
      <c r="C26" s="8"/>
      <c r="D26" s="8"/>
      <c r="E26" s="8"/>
      <c r="F26" s="13">
        <v>6500</v>
      </c>
      <c r="G26" s="8" t="s">
        <v>54</v>
      </c>
      <c r="H26" s="8"/>
      <c r="I26" s="31">
        <f>TCM*0.2</f>
        <v>1300</v>
      </c>
      <c r="J26" s="8" t="s">
        <v>65</v>
      </c>
      <c r="K26" s="8" t="s">
        <v>56</v>
      </c>
      <c r="L26" s="8" t="s">
        <v>285</v>
      </c>
      <c r="N26" s="8"/>
      <c r="O26" s="8"/>
      <c r="P26" s="8"/>
    </row>
    <row r="27" spans="2:16" x14ac:dyDescent="0.2">
      <c r="B27" s="8" t="s">
        <v>49</v>
      </c>
      <c r="C27" s="8"/>
      <c r="D27" s="8"/>
      <c r="E27" s="8"/>
      <c r="F27" s="13">
        <v>1.1000000000000001</v>
      </c>
      <c r="G27" s="8" t="s">
        <v>37</v>
      </c>
      <c r="H27" s="8"/>
      <c r="I27" s="32">
        <f>TCMI/_OC1</f>
        <v>1181.8181818181818</v>
      </c>
      <c r="J27" s="8"/>
      <c r="K27" s="8" t="s">
        <v>55</v>
      </c>
      <c r="L27" s="8"/>
      <c r="N27" s="8"/>
      <c r="O27" s="8"/>
      <c r="P27" s="8"/>
    </row>
    <row r="28" spans="2:16" x14ac:dyDescent="0.2">
      <c r="B28" s="8" t="s">
        <v>57</v>
      </c>
      <c r="C28" s="8"/>
      <c r="D28" s="8"/>
      <c r="E28" s="8"/>
      <c r="F28" s="13">
        <v>900</v>
      </c>
      <c r="G28" s="8" t="s">
        <v>38</v>
      </c>
      <c r="H28" s="8"/>
      <c r="I28" s="31">
        <f>CMO*0.1</f>
        <v>90</v>
      </c>
      <c r="J28" s="8" t="s">
        <v>58</v>
      </c>
      <c r="K28" s="8" t="s">
        <v>59</v>
      </c>
      <c r="L28" s="8"/>
      <c r="N28" s="8"/>
      <c r="O28" s="8"/>
      <c r="P28" s="8"/>
    </row>
    <row r="29" spans="2:16" x14ac:dyDescent="0.2">
      <c r="B29" s="8" t="s">
        <v>19</v>
      </c>
      <c r="C29" s="8"/>
      <c r="D29" s="8"/>
      <c r="E29" s="8"/>
      <c r="F29" s="13">
        <v>16500</v>
      </c>
      <c r="G29" s="8" t="s">
        <v>39</v>
      </c>
      <c r="H29" s="8"/>
      <c r="I29" s="31"/>
      <c r="J29" s="8"/>
      <c r="K29" s="8"/>
      <c r="L29" s="8"/>
      <c r="N29" s="8"/>
      <c r="O29" s="8"/>
      <c r="P29" s="8"/>
    </row>
    <row r="30" spans="2:16" x14ac:dyDescent="0.2">
      <c r="B30" s="8" t="s">
        <v>64</v>
      </c>
      <c r="C30" s="8"/>
      <c r="D30" s="8"/>
      <c r="E30" s="8"/>
      <c r="F30" s="13">
        <v>60</v>
      </c>
      <c r="G30" s="8" t="s">
        <v>40</v>
      </c>
      <c r="H30" s="8"/>
      <c r="I30" s="31"/>
      <c r="J30" s="8"/>
      <c r="K30" s="8"/>
      <c r="L30" s="8"/>
      <c r="N30" s="8"/>
      <c r="O30" s="8"/>
      <c r="P30" s="8"/>
    </row>
    <row r="31" spans="2:16" x14ac:dyDescent="0.2">
      <c r="B31" s="8" t="s">
        <v>123</v>
      </c>
      <c r="C31" s="8"/>
      <c r="D31" s="8"/>
      <c r="E31" s="8"/>
      <c r="F31" s="13">
        <v>3.4</v>
      </c>
      <c r="G31" s="8" t="s">
        <v>41</v>
      </c>
      <c r="H31" s="8"/>
      <c r="I31" s="31"/>
      <c r="J31" s="8"/>
      <c r="K31" s="8"/>
      <c r="L31" s="8"/>
      <c r="N31" s="8"/>
      <c r="O31" s="8"/>
      <c r="P31" s="8"/>
    </row>
    <row r="32" spans="2:16" x14ac:dyDescent="0.2">
      <c r="B32" s="8" t="s">
        <v>60</v>
      </c>
      <c r="C32" s="8"/>
      <c r="D32" s="8"/>
      <c r="E32" s="8"/>
      <c r="F32" s="13">
        <v>140</v>
      </c>
      <c r="G32" s="8" t="s">
        <v>62</v>
      </c>
      <c r="H32" s="8"/>
      <c r="I32" s="32">
        <f>(ANV*(PBC/100)/_OC2)*ETC*0.2</f>
        <v>81529.411764705903</v>
      </c>
      <c r="J32" s="8"/>
      <c r="K32" s="8" t="s">
        <v>67</v>
      </c>
      <c r="L32" s="8"/>
      <c r="N32" s="8"/>
      <c r="O32" s="8"/>
      <c r="P32" s="8"/>
    </row>
    <row r="33" spans="2:16" ht="13.5" thickBot="1" x14ac:dyDescent="0.25">
      <c r="B33" s="8" t="s">
        <v>61</v>
      </c>
      <c r="C33" s="8"/>
      <c r="D33" s="8"/>
      <c r="E33" s="8"/>
      <c r="F33" s="14">
        <v>140</v>
      </c>
      <c r="G33" s="8" t="s">
        <v>63</v>
      </c>
      <c r="H33" s="8"/>
      <c r="I33" s="33">
        <f>ANV*(100-PBC)/100*ETP*0.05</f>
        <v>46200</v>
      </c>
      <c r="J33" s="8" t="s">
        <v>66</v>
      </c>
      <c r="K33" s="8" t="s">
        <v>68</v>
      </c>
      <c r="L33" s="8" t="s">
        <v>286</v>
      </c>
      <c r="N33" s="8"/>
      <c r="O33" s="8"/>
      <c r="P33" s="8"/>
    </row>
    <row r="34" spans="2:16" x14ac:dyDescent="0.2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2:16" ht="13.5" thickBot="1" x14ac:dyDescent="0.25">
      <c r="B35" s="9" t="s">
        <v>69</v>
      </c>
      <c r="C35" s="9"/>
      <c r="D35" s="9"/>
      <c r="E35" s="9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2:16" x14ac:dyDescent="0.2">
      <c r="B36" s="9" t="s">
        <v>70</v>
      </c>
      <c r="C36" s="60">
        <f>AGBR+AEBR</f>
        <v>5400</v>
      </c>
      <c r="D36" s="9" t="s">
        <v>72</v>
      </c>
      <c r="E36" s="9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2:16" x14ac:dyDescent="0.2">
      <c r="B37" s="9" t="s">
        <v>3</v>
      </c>
      <c r="C37" s="61">
        <f>TOTR</f>
        <v>2100</v>
      </c>
      <c r="D37" s="9" t="s">
        <v>73</v>
      </c>
      <c r="E37" s="9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2:16" x14ac:dyDescent="0.2">
      <c r="B38" s="9" t="s">
        <v>71</v>
      </c>
      <c r="C38" s="62">
        <f>TCMR+CMOR</f>
        <v>1271.8181818181818</v>
      </c>
      <c r="D38" s="9" t="s">
        <v>74</v>
      </c>
      <c r="E38" s="9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2:16" ht="13.5" thickBot="1" x14ac:dyDescent="0.25">
      <c r="B39" s="9" t="s">
        <v>4</v>
      </c>
      <c r="C39" s="63">
        <f>VTCR+VTPR</f>
        <v>127729.4117647059</v>
      </c>
      <c r="D39" s="9" t="s">
        <v>75</v>
      </c>
      <c r="E39" s="9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2:16" ht="13.5" thickBot="1" x14ac:dyDescent="0.25">
      <c r="B40" s="9"/>
      <c r="C40" s="9"/>
      <c r="D40" s="9"/>
      <c r="E40" s="9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2:16" ht="25.5" x14ac:dyDescent="0.2">
      <c r="B41" s="68" t="s">
        <v>90</v>
      </c>
      <c r="C41" s="64">
        <f>OPER+OPTR+COMR+TVTR</f>
        <v>136501.22994652408</v>
      </c>
      <c r="D41" s="9" t="s">
        <v>91</v>
      </c>
      <c r="E41" s="9" t="s">
        <v>309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2:16" ht="13.5" thickBot="1" x14ac:dyDescent="0.25">
      <c r="B42" s="9"/>
      <c r="C42" s="65">
        <f>PCF/1000</f>
        <v>136.50122994652409</v>
      </c>
      <c r="D42" s="9"/>
      <c r="E42" s="9" t="s">
        <v>310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2:16" x14ac:dyDescent="0.2">
      <c r="B43" s="9"/>
      <c r="C43" s="9"/>
      <c r="D43" s="9"/>
      <c r="E43" s="9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2:16" ht="13.5" thickBot="1" x14ac:dyDescent="0.25">
      <c r="B44" s="66" t="s">
        <v>410</v>
      </c>
      <c r="C44" s="66">
        <v>0.45</v>
      </c>
      <c r="D44" s="66"/>
      <c r="E44" s="66" t="s">
        <v>94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2:16" ht="13.5" thickBot="1" x14ac:dyDescent="0.25">
      <c r="B45" s="9" t="s">
        <v>411</v>
      </c>
      <c r="C45" s="67">
        <f>PCF/ANV</f>
        <v>8.2728018149408538</v>
      </c>
      <c r="D45" s="9" t="s">
        <v>93</v>
      </c>
      <c r="E45" s="9" t="s">
        <v>94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2:16" x14ac:dyDescent="0.2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2:16" x14ac:dyDescent="0.2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2:16" x14ac:dyDescent="0.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2:16" x14ac:dyDescent="0.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6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6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2:16" x14ac:dyDescent="0.2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2:16" x14ac:dyDescent="0.2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customSheetViews>
    <customSheetView guid="{5DDB5E46-F5AF-4025-A0A8-B64361C1F352}" scale="75" showPageBreaks="1" showGridLines="0" printArea="1" topLeftCell="A8">
      <selection activeCell="E28" sqref="E28"/>
      <pageMargins left="0.75" right="0.75" top="1" bottom="1" header="0.5" footer="0.5"/>
      <pageSetup paperSize="9" orientation="landscape" r:id="rId1"/>
      <headerFooter alignWithMargins="0"/>
    </customSheetView>
    <customSheetView guid="{7F8786F5-02F7-433D-98AC-0C6AE08AD9EF}" showPageBreaks="1" printArea="1" showRuler="0" topLeftCell="F23">
      <selection activeCell="G34" sqref="G34"/>
      <pageMargins left="0.75" right="0.75" top="1" bottom="1" header="0.5" footer="0.5"/>
      <pageSetup paperSize="9" orientation="landscape" r:id="rId2"/>
      <headerFooter alignWithMargins="0"/>
    </customSheetView>
  </customSheetViews>
  <phoneticPr fontId="2" type="noConversion"/>
  <pageMargins left="0.75" right="0.75" top="1" bottom="1" header="0.5" footer="0.5"/>
  <pageSetup paperSize="9" orientation="landscape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H17" workbookViewId="0">
      <selection activeCell="D40" sqref="D40"/>
    </sheetView>
  </sheetViews>
  <sheetFormatPr defaultRowHeight="12.75" x14ac:dyDescent="0.2"/>
  <cols>
    <col min="2" max="2" width="13.140625" customWidth="1"/>
    <col min="3" max="3" width="13.42578125" customWidth="1"/>
    <col min="11" max="11" width="1.7109375" customWidth="1"/>
  </cols>
  <sheetData>
    <row r="1" spans="1:10" x14ac:dyDescent="0.2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x14ac:dyDescent="0.2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x14ac:dyDescent="0.2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x14ac:dyDescent="0.2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9.5" x14ac:dyDescent="0.25">
      <c r="A5" s="8"/>
      <c r="B5" s="8"/>
      <c r="C5" s="8"/>
      <c r="D5" s="10" t="s">
        <v>248</v>
      </c>
      <c r="E5" s="10"/>
      <c r="F5" s="10"/>
      <c r="G5" s="10"/>
      <c r="H5" s="10"/>
      <c r="I5" s="10"/>
      <c r="J5" s="10"/>
    </row>
    <row r="6" spans="1:10" x14ac:dyDescent="0.2">
      <c r="A6" s="8"/>
      <c r="B6" s="8"/>
      <c r="C6" s="8"/>
      <c r="D6" s="7" t="s">
        <v>21</v>
      </c>
      <c r="E6" s="8"/>
      <c r="F6" s="8"/>
      <c r="G6" s="8"/>
      <c r="H6" s="8"/>
      <c r="I6" s="8"/>
      <c r="J6" s="8"/>
    </row>
    <row r="7" spans="1:10" x14ac:dyDescent="0.2">
      <c r="A7" s="8"/>
      <c r="B7" s="8"/>
      <c r="C7" s="8"/>
      <c r="D7" t="s">
        <v>287</v>
      </c>
      <c r="E7" s="8"/>
      <c r="F7" s="8"/>
      <c r="G7" s="8"/>
      <c r="H7" s="8"/>
      <c r="I7" s="8"/>
      <c r="J7" s="8"/>
    </row>
    <row r="8" spans="1:10" x14ac:dyDescent="0.2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x14ac:dyDescent="0.2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x14ac:dyDescent="0.2">
      <c r="B10" t="s">
        <v>292</v>
      </c>
    </row>
    <row r="11" spans="1:10" x14ac:dyDescent="0.2">
      <c r="B11" t="s">
        <v>288</v>
      </c>
    </row>
    <row r="12" spans="1:10" x14ac:dyDescent="0.2">
      <c r="B12" t="s">
        <v>289</v>
      </c>
    </row>
    <row r="13" spans="1:10" x14ac:dyDescent="0.2">
      <c r="B13" t="s">
        <v>290</v>
      </c>
    </row>
    <row r="14" spans="1:10" x14ac:dyDescent="0.2">
      <c r="B14" t="s">
        <v>291</v>
      </c>
    </row>
    <row r="15" spans="1:10" x14ac:dyDescent="0.2">
      <c r="B15" s="7" t="s">
        <v>98</v>
      </c>
    </row>
    <row r="17" spans="2:12" s="7" customFormat="1" x14ac:dyDescent="0.2">
      <c r="B17" s="7" t="s">
        <v>22</v>
      </c>
    </row>
    <row r="18" spans="2:12" ht="13.5" thickBot="1" x14ac:dyDescent="0.25">
      <c r="B18" s="7" t="s">
        <v>23</v>
      </c>
      <c r="D18" t="s">
        <v>26</v>
      </c>
      <c r="G18" s="7">
        <v>1</v>
      </c>
      <c r="H18" s="7">
        <v>2</v>
      </c>
      <c r="I18" s="7">
        <v>3</v>
      </c>
      <c r="J18" s="7">
        <v>4</v>
      </c>
    </row>
    <row r="19" spans="2:12" x14ac:dyDescent="0.2">
      <c r="C19" t="s">
        <v>31</v>
      </c>
      <c r="D19">
        <v>500</v>
      </c>
      <c r="E19" t="s">
        <v>42</v>
      </c>
      <c r="G19" s="2"/>
      <c r="H19" s="2"/>
      <c r="I19" s="2"/>
      <c r="J19" s="20"/>
      <c r="L19" t="s">
        <v>293</v>
      </c>
    </row>
    <row r="20" spans="2:12" x14ac:dyDescent="0.2">
      <c r="C20" t="s">
        <v>32</v>
      </c>
      <c r="D20">
        <v>1000</v>
      </c>
      <c r="E20" t="s">
        <v>43</v>
      </c>
      <c r="G20" s="3"/>
      <c r="H20" s="3"/>
      <c r="I20" s="3"/>
      <c r="J20" s="21"/>
      <c r="L20" t="s">
        <v>294</v>
      </c>
    </row>
    <row r="21" spans="2:12" x14ac:dyDescent="0.2">
      <c r="C21" t="s">
        <v>33</v>
      </c>
      <c r="D21">
        <v>2000</v>
      </c>
      <c r="E21" t="s">
        <v>44</v>
      </c>
      <c r="G21" s="3">
        <v>3000</v>
      </c>
      <c r="H21" s="3"/>
      <c r="I21" s="3"/>
      <c r="J21" s="21"/>
      <c r="L21" t="s">
        <v>295</v>
      </c>
    </row>
    <row r="22" spans="2:12" x14ac:dyDescent="0.2">
      <c r="B22" s="7" t="s">
        <v>24</v>
      </c>
      <c r="D22" t="s">
        <v>27</v>
      </c>
      <c r="E22" t="s">
        <v>45</v>
      </c>
      <c r="G22" s="3">
        <v>290</v>
      </c>
      <c r="H22" s="3"/>
      <c r="I22" s="3"/>
      <c r="J22" s="21"/>
    </row>
    <row r="23" spans="2:12" x14ac:dyDescent="0.2">
      <c r="B23" s="7" t="s">
        <v>25</v>
      </c>
      <c r="D23" t="s">
        <v>28</v>
      </c>
      <c r="E23" t="s">
        <v>46</v>
      </c>
      <c r="G23" s="3"/>
      <c r="H23" s="3"/>
      <c r="I23" s="3"/>
      <c r="J23" s="21"/>
    </row>
    <row r="24" spans="2:12" ht="13.5" thickBot="1" x14ac:dyDescent="0.25">
      <c r="B24" s="7" t="s">
        <v>29</v>
      </c>
      <c r="D24" t="s">
        <v>30</v>
      </c>
      <c r="E24" t="s">
        <v>47</v>
      </c>
      <c r="G24" s="4"/>
      <c r="H24" s="4"/>
      <c r="I24" s="4"/>
      <c r="J24" s="22"/>
    </row>
    <row r="26" spans="2:12" x14ac:dyDescent="0.2">
      <c r="G26" s="6">
        <f>CBP*0.5</f>
        <v>0</v>
      </c>
      <c r="H26" s="6">
        <f>_CBP2*0.5</f>
        <v>0</v>
      </c>
      <c r="I26" s="6">
        <f>_CBP3*0.5</f>
        <v>0</v>
      </c>
      <c r="J26" s="6">
        <f>_CBP4*0.5</f>
        <v>0</v>
      </c>
    </row>
    <row r="27" spans="2:12" x14ac:dyDescent="0.2">
      <c r="G27" s="6">
        <f>CBT</f>
        <v>0</v>
      </c>
      <c r="H27" s="6">
        <f>_CBT2</f>
        <v>0</v>
      </c>
      <c r="I27" s="6">
        <f>_CBT3</f>
        <v>0</v>
      </c>
      <c r="J27" s="6">
        <f>_CBT4</f>
        <v>0</v>
      </c>
    </row>
    <row r="28" spans="2:12" x14ac:dyDescent="0.2">
      <c r="G28" s="6">
        <f>CBB*2</f>
        <v>6000</v>
      </c>
      <c r="H28" s="6">
        <f>_CBB2*2</f>
        <v>0</v>
      </c>
      <c r="I28" s="6">
        <f>_CBB3*2</f>
        <v>0</v>
      </c>
      <c r="J28" s="6">
        <f>_CBB4*2</f>
        <v>0</v>
      </c>
    </row>
    <row r="29" spans="2:12" x14ac:dyDescent="0.2">
      <c r="G29" s="6">
        <f>CEQ*0.2</f>
        <v>58</v>
      </c>
      <c r="H29" s="6">
        <f>_CEQ2*0.2</f>
        <v>0</v>
      </c>
      <c r="I29" s="6">
        <f>_CEQ3*0.2</f>
        <v>0</v>
      </c>
      <c r="J29" s="6">
        <f>_CEQ4*0.2</f>
        <v>0</v>
      </c>
    </row>
    <row r="30" spans="2:12" x14ac:dyDescent="0.2">
      <c r="G30" s="6">
        <f>CAC*0.1</f>
        <v>0</v>
      </c>
      <c r="H30" s="6">
        <f>_CAC2*0.1</f>
        <v>0</v>
      </c>
      <c r="I30" s="6">
        <f>_CAC3*0.1</f>
        <v>0</v>
      </c>
      <c r="J30" s="6">
        <f>_CAC4*0.1</f>
        <v>0</v>
      </c>
    </row>
    <row r="31" spans="2:12" x14ac:dyDescent="0.2">
      <c r="G31" s="6">
        <f>CAO*0.5</f>
        <v>0</v>
      </c>
      <c r="H31" s="6">
        <f>_CAO2*0.5</f>
        <v>0</v>
      </c>
      <c r="I31" s="6">
        <f>_CAO3*0.5</f>
        <v>0</v>
      </c>
      <c r="J31" s="6">
        <f>_CAO4*0.5</f>
        <v>0</v>
      </c>
    </row>
    <row r="33" spans="3:6" ht="13.5" thickBot="1" x14ac:dyDescent="0.25">
      <c r="C33" t="s">
        <v>97</v>
      </c>
      <c r="D33">
        <f>SUM(G26:J31)</f>
        <v>6058</v>
      </c>
      <c r="F33" t="s">
        <v>296</v>
      </c>
    </row>
    <row r="34" spans="3:6" ht="13.5" thickBot="1" x14ac:dyDescent="0.25">
      <c r="C34" t="s">
        <v>185</v>
      </c>
      <c r="D34" s="23">
        <f>CIT/10</f>
        <v>605.79999999999995</v>
      </c>
      <c r="F34" t="s">
        <v>297</v>
      </c>
    </row>
  </sheetData>
  <customSheetViews>
    <customSheetView guid="{5DDB5E46-F5AF-4025-A0A8-B64361C1F352}" topLeftCell="H17">
      <selection activeCell="D40" sqref="D40"/>
      <pageMargins left="0.75" right="0.75" top="1" bottom="1" header="0.5" footer="0.5"/>
      <pageSetup paperSize="9" orientation="landscape" r:id="rId1"/>
      <headerFooter alignWithMargins="0"/>
    </customSheetView>
    <customSheetView guid="{7F8786F5-02F7-433D-98AC-0C6AE08AD9EF}" showRuler="0" topLeftCell="A10">
      <selection activeCell="G24" sqref="G24"/>
      <pageMargins left="0.75" right="0.75" top="1" bottom="1" header="0.5" footer="0.5"/>
      <pageSetup paperSize="9" orientation="landscape" horizontalDpi="0" verticalDpi="0" r:id="rId2"/>
      <headerFooter alignWithMargins="0"/>
    </customSheetView>
  </customSheetViews>
  <phoneticPr fontId="2" type="noConversion"/>
  <pageMargins left="0.75" right="0.75" top="1" bottom="1" header="0.5" footer="0.5"/>
  <pageSetup paperSize="9" orientation="landscape" r:id="rId3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B20" workbookViewId="0">
      <selection activeCell="I36" sqref="I36"/>
    </sheetView>
  </sheetViews>
  <sheetFormatPr defaultRowHeight="12.75" x14ac:dyDescent="0.2"/>
  <sheetData>
    <row r="1" spans="1:13" x14ac:dyDescent="0.2">
      <c r="A1" s="8"/>
      <c r="B1" s="8"/>
      <c r="C1" s="8"/>
      <c r="D1" s="8"/>
      <c r="E1" s="8"/>
      <c r="F1" s="8"/>
      <c r="G1" s="8"/>
      <c r="H1" s="8"/>
      <c r="I1" s="8"/>
      <c r="J1" s="8"/>
    </row>
    <row r="2" spans="1:13" x14ac:dyDescent="0.2">
      <c r="A2" s="8"/>
      <c r="B2" s="8"/>
      <c r="C2" s="8"/>
      <c r="D2" s="8"/>
      <c r="E2" s="8"/>
      <c r="F2" s="8"/>
      <c r="G2" s="8"/>
      <c r="H2" s="8"/>
      <c r="I2" s="8"/>
      <c r="J2" s="8"/>
    </row>
    <row r="3" spans="1:13" x14ac:dyDescent="0.2">
      <c r="A3" s="8"/>
      <c r="B3" s="8"/>
      <c r="C3" s="8"/>
      <c r="D3" s="8"/>
      <c r="E3" s="8"/>
      <c r="F3" s="8"/>
      <c r="G3" s="8"/>
      <c r="H3" s="8"/>
      <c r="I3" s="8"/>
      <c r="J3" s="8"/>
    </row>
    <row r="4" spans="1:13" x14ac:dyDescent="0.2">
      <c r="A4" s="8"/>
      <c r="B4" s="8"/>
      <c r="C4" s="8"/>
      <c r="D4" s="8"/>
      <c r="E4" s="8"/>
      <c r="F4" s="8"/>
      <c r="G4" s="8"/>
      <c r="H4" s="8"/>
      <c r="I4" s="8"/>
      <c r="J4" s="8"/>
    </row>
    <row r="5" spans="1:13" ht="19.5" x14ac:dyDescent="0.25">
      <c r="A5" s="8"/>
      <c r="B5" s="8"/>
      <c r="C5" s="8"/>
      <c r="D5" s="10" t="s">
        <v>248</v>
      </c>
      <c r="E5" s="10"/>
      <c r="F5" s="10"/>
      <c r="G5" s="10"/>
      <c r="H5" s="10"/>
      <c r="I5" s="10"/>
      <c r="J5" s="10"/>
    </row>
    <row r="6" spans="1:13" x14ac:dyDescent="0.2">
      <c r="A6" s="8"/>
      <c r="B6" s="8"/>
      <c r="C6" s="8"/>
      <c r="D6" s="7" t="s">
        <v>2</v>
      </c>
      <c r="E6" s="8"/>
      <c r="F6" s="8"/>
      <c r="G6" s="8"/>
      <c r="H6" s="8"/>
      <c r="I6" s="8"/>
      <c r="J6" s="8"/>
    </row>
    <row r="7" spans="1:13" x14ac:dyDescent="0.2">
      <c r="A7" s="8"/>
      <c r="B7" s="8"/>
      <c r="C7" s="8"/>
      <c r="D7" t="s">
        <v>1</v>
      </c>
      <c r="E7" s="8"/>
      <c r="F7" s="8"/>
      <c r="G7" s="8"/>
      <c r="H7" s="8"/>
      <c r="I7" s="8"/>
      <c r="J7" s="8"/>
    </row>
    <row r="8" spans="1:13" x14ac:dyDescent="0.2">
      <c r="A8" s="8"/>
      <c r="B8" s="8"/>
      <c r="C8" s="8"/>
      <c r="D8" s="8"/>
      <c r="E8" s="8"/>
      <c r="F8" s="8"/>
      <c r="G8" s="8"/>
      <c r="H8" s="8"/>
      <c r="I8" s="8"/>
      <c r="J8" s="8"/>
    </row>
    <row r="9" spans="1:13" ht="13.5" thickBot="1" x14ac:dyDescent="0.25"/>
    <row r="10" spans="1:13" ht="13.5" thickBot="1" x14ac:dyDescent="0.25">
      <c r="B10" s="7" t="s">
        <v>150</v>
      </c>
      <c r="K10" s="24">
        <v>480</v>
      </c>
      <c r="L10" t="s">
        <v>149</v>
      </c>
    </row>
    <row r="12" spans="1:13" ht="13.5" thickBot="1" x14ac:dyDescent="0.25">
      <c r="B12" s="7" t="s">
        <v>145</v>
      </c>
      <c r="M12" t="s">
        <v>143</v>
      </c>
    </row>
    <row r="13" spans="1:13" ht="13.5" thickBot="1" x14ac:dyDescent="0.25">
      <c r="B13" t="s">
        <v>298</v>
      </c>
      <c r="K13" s="25" t="s">
        <v>143</v>
      </c>
      <c r="L13" t="s">
        <v>146</v>
      </c>
      <c r="M13" t="s">
        <v>144</v>
      </c>
    </row>
    <row r="15" spans="1:13" x14ac:dyDescent="0.2">
      <c r="B15" t="s">
        <v>299</v>
      </c>
    </row>
    <row r="16" spans="1:13" x14ac:dyDescent="0.2">
      <c r="B16" t="s">
        <v>300</v>
      </c>
    </row>
    <row r="17" spans="2:12" x14ac:dyDescent="0.2">
      <c r="B17" t="s">
        <v>301</v>
      </c>
    </row>
    <row r="18" spans="2:12" x14ac:dyDescent="0.2">
      <c r="B18" t="s">
        <v>302</v>
      </c>
    </row>
    <row r="20" spans="2:12" x14ac:dyDescent="0.2">
      <c r="B20" s="7" t="s">
        <v>133</v>
      </c>
    </row>
    <row r="21" spans="2:12" ht="13.5" thickBot="1" x14ac:dyDescent="0.25"/>
    <row r="22" spans="2:12" ht="13.5" thickBot="1" x14ac:dyDescent="0.25">
      <c r="B22" t="s">
        <v>134</v>
      </c>
      <c r="K22" s="24"/>
      <c r="L22" t="s">
        <v>136</v>
      </c>
    </row>
    <row r="23" spans="2:12" ht="13.5" thickBot="1" x14ac:dyDescent="0.25">
      <c r="B23" t="s">
        <v>135</v>
      </c>
      <c r="K23" s="24">
        <v>29469</v>
      </c>
      <c r="L23" t="s">
        <v>137</v>
      </c>
    </row>
    <row r="24" spans="2:12" ht="13.5" thickBot="1" x14ac:dyDescent="0.25">
      <c r="B24" s="7" t="s">
        <v>303</v>
      </c>
      <c r="K24" s="26">
        <f>_MGT1*0.2+_ELT1*0.43</f>
        <v>12671.67</v>
      </c>
      <c r="L24" t="s">
        <v>138</v>
      </c>
    </row>
    <row r="26" spans="2:12" x14ac:dyDescent="0.2">
      <c r="B26" t="s">
        <v>304</v>
      </c>
    </row>
    <row r="27" spans="2:12" x14ac:dyDescent="0.2">
      <c r="B27" t="s">
        <v>305</v>
      </c>
    </row>
    <row r="29" spans="2:12" x14ac:dyDescent="0.2">
      <c r="B29" s="7" t="s">
        <v>306</v>
      </c>
    </row>
    <row r="30" spans="2:12" ht="13.5" thickBot="1" x14ac:dyDescent="0.25">
      <c r="B30" s="7" t="s">
        <v>307</v>
      </c>
    </row>
    <row r="31" spans="2:12" ht="13.5" thickBot="1" x14ac:dyDescent="0.25">
      <c r="K31" s="27">
        <v>1271.67</v>
      </c>
      <c r="L31" t="s">
        <v>139</v>
      </c>
    </row>
    <row r="32" spans="2:12" ht="13.5" thickBot="1" x14ac:dyDescent="0.25">
      <c r="K32" s="27"/>
    </row>
    <row r="33" spans="2:12" ht="13.5" thickBot="1" x14ac:dyDescent="0.25">
      <c r="K33" s="28">
        <f>IF(SBL="YES",_OET1,IF(SBL="NO",_OET2))</f>
        <v>12671.67</v>
      </c>
      <c r="L33" t="s">
        <v>147</v>
      </c>
    </row>
    <row r="34" spans="2:12" ht="13.5" thickBot="1" x14ac:dyDescent="0.25">
      <c r="B34" t="s">
        <v>308</v>
      </c>
    </row>
    <row r="35" spans="2:12" ht="13.5" thickBot="1" x14ac:dyDescent="0.25">
      <c r="B35" s="7" t="s">
        <v>186</v>
      </c>
      <c r="K35" s="29">
        <v>0</v>
      </c>
      <c r="L35" t="s">
        <v>140</v>
      </c>
    </row>
    <row r="36" spans="2:12" ht="13.5" thickBot="1" x14ac:dyDescent="0.25">
      <c r="B36" s="7" t="s">
        <v>187</v>
      </c>
      <c r="I36" t="s">
        <v>415</v>
      </c>
      <c r="K36" s="29">
        <v>0</v>
      </c>
      <c r="L36" t="s">
        <v>142</v>
      </c>
    </row>
    <row r="37" spans="2:12" ht="13.5" thickBot="1" x14ac:dyDescent="0.25">
      <c r="B37" s="7" t="s">
        <v>188</v>
      </c>
      <c r="K37" s="29">
        <v>0</v>
      </c>
      <c r="L37" t="s">
        <v>141</v>
      </c>
    </row>
    <row r="38" spans="2:12" ht="13.5" thickBot="1" x14ac:dyDescent="0.25"/>
    <row r="39" spans="2:12" ht="13.5" thickBot="1" x14ac:dyDescent="0.25">
      <c r="B39" s="7" t="s">
        <v>406</v>
      </c>
      <c r="K39" s="23">
        <f>_OET3+BGT*1.5+LPGT*3+FOT*3</f>
        <v>12671.67</v>
      </c>
      <c r="L39" t="s">
        <v>148</v>
      </c>
    </row>
    <row r="40" spans="2:12" x14ac:dyDescent="0.2">
      <c r="B40" s="58"/>
    </row>
    <row r="42" spans="2:12" x14ac:dyDescent="0.2">
      <c r="B42" t="s">
        <v>395</v>
      </c>
    </row>
    <row r="43" spans="2:12" x14ac:dyDescent="0.2">
      <c r="B43" t="s">
        <v>396</v>
      </c>
    </row>
    <row r="45" spans="2:12" x14ac:dyDescent="0.2">
      <c r="B45" t="s">
        <v>397</v>
      </c>
    </row>
  </sheetData>
  <customSheetViews>
    <customSheetView guid="{5DDB5E46-F5AF-4025-A0A8-B64361C1F352}" topLeftCell="B20">
      <selection activeCell="I36" sqref="I36"/>
      <pageMargins left="0.75" right="0.75" top="1" bottom="1" header="0.5" footer="0.5"/>
      <pageSetup paperSize="9" orientation="landscape" r:id="rId1"/>
      <headerFooter alignWithMargins="0"/>
    </customSheetView>
    <customSheetView guid="{7F8786F5-02F7-433D-98AC-0C6AE08AD9EF}" showRuler="0" topLeftCell="B21">
      <selection activeCell="I36" sqref="I36"/>
      <pageMargins left="0.75" right="0.75" top="1" bottom="1" header="0.5" footer="0.5"/>
      <pageSetup paperSize="9" orientation="landscape" r:id="rId2"/>
      <headerFooter alignWithMargins="0"/>
    </customSheetView>
  </customSheetViews>
  <phoneticPr fontId="2" type="noConversion"/>
  <dataValidations count="1">
    <dataValidation type="list" allowBlank="1" showInputMessage="1" showErrorMessage="1" sqref="K13">
      <formula1>M12:M13</formula1>
    </dataValidation>
  </dataValidations>
  <pageMargins left="0.75" right="0.75" top="1" bottom="1" header="0.5" footer="0.5"/>
  <pageSetup paperSize="9" orientation="landscape" r:id="rId3"/>
  <headerFooter alignWithMargins="0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opLeftCell="A25" workbookViewId="0">
      <selection activeCell="B28" sqref="B28:M57"/>
    </sheetView>
  </sheetViews>
  <sheetFormatPr defaultRowHeight="12.75" x14ac:dyDescent="0.2"/>
  <cols>
    <col min="2" max="2" width="16.85546875" customWidth="1"/>
    <col min="6" max="14" width="8.7109375" customWidth="1"/>
    <col min="15" max="15" width="9.28515625" customWidth="1"/>
  </cols>
  <sheetData>
    <row r="1" spans="1:12" x14ac:dyDescent="0.2">
      <c r="A1" s="8"/>
      <c r="B1" s="8"/>
      <c r="C1" s="8"/>
      <c r="D1" s="8"/>
      <c r="E1" s="8"/>
      <c r="F1" s="8"/>
      <c r="G1" s="8"/>
      <c r="H1" s="8"/>
      <c r="I1" s="8"/>
      <c r="J1" s="8"/>
    </row>
    <row r="2" spans="1:12" x14ac:dyDescent="0.2">
      <c r="A2" s="8"/>
      <c r="B2" s="8"/>
      <c r="C2" s="8"/>
      <c r="D2" s="8"/>
      <c r="E2" s="8"/>
      <c r="F2" s="8"/>
      <c r="G2" s="8"/>
      <c r="H2" s="8"/>
      <c r="I2" s="8"/>
      <c r="J2" s="8"/>
    </row>
    <row r="3" spans="1:12" x14ac:dyDescent="0.2">
      <c r="A3" s="8"/>
      <c r="B3" s="8"/>
      <c r="C3" s="8"/>
      <c r="D3" s="8"/>
      <c r="E3" s="8"/>
      <c r="F3" s="8"/>
      <c r="G3" s="8"/>
      <c r="H3" s="8"/>
      <c r="I3" s="8"/>
      <c r="J3" s="8"/>
    </row>
    <row r="4" spans="1:12" x14ac:dyDescent="0.2">
      <c r="A4" s="8"/>
      <c r="B4" s="8"/>
      <c r="C4" s="8"/>
      <c r="D4" s="8"/>
      <c r="E4" s="8"/>
      <c r="F4" s="8"/>
      <c r="G4" s="8"/>
      <c r="H4" s="8"/>
      <c r="I4" s="8"/>
      <c r="J4" s="8"/>
    </row>
    <row r="5" spans="1:12" ht="19.5" x14ac:dyDescent="0.25">
      <c r="A5" s="8"/>
      <c r="B5" s="8"/>
      <c r="C5" s="8"/>
      <c r="D5" s="10" t="s">
        <v>248</v>
      </c>
      <c r="E5" s="10"/>
      <c r="F5" s="10"/>
      <c r="G5" s="10"/>
      <c r="H5" s="10"/>
      <c r="I5" s="10"/>
      <c r="J5" s="10"/>
    </row>
    <row r="6" spans="1:12" x14ac:dyDescent="0.2">
      <c r="A6" s="8"/>
      <c r="B6" s="8"/>
      <c r="C6" s="8"/>
      <c r="D6" s="7" t="s">
        <v>177</v>
      </c>
      <c r="E6" s="8"/>
      <c r="F6" s="8"/>
      <c r="G6" s="8"/>
      <c r="H6" s="8"/>
      <c r="I6" s="8"/>
      <c r="J6" s="8"/>
    </row>
    <row r="7" spans="1:12" x14ac:dyDescent="0.2">
      <c r="A7" s="8"/>
      <c r="B7" s="8"/>
      <c r="C7" s="8"/>
      <c r="D7" s="8"/>
      <c r="E7" s="8"/>
      <c r="F7" s="8"/>
      <c r="G7" s="8"/>
      <c r="H7" s="8"/>
      <c r="I7" s="8"/>
      <c r="J7" s="8"/>
    </row>
    <row r="8" spans="1:12" x14ac:dyDescent="0.2">
      <c r="A8" s="8"/>
      <c r="B8" s="8"/>
      <c r="C8" s="8"/>
      <c r="D8" s="8"/>
      <c r="E8" s="8"/>
      <c r="F8" s="8"/>
      <c r="G8" s="8"/>
      <c r="H8" s="8"/>
      <c r="I8" s="8"/>
      <c r="J8" s="8"/>
    </row>
    <row r="10" spans="1:12" x14ac:dyDescent="0.2">
      <c r="B10" t="s">
        <v>312</v>
      </c>
    </row>
    <row r="12" spans="1:12" ht="13.5" thickBot="1" x14ac:dyDescent="0.25">
      <c r="B12" t="s">
        <v>313</v>
      </c>
    </row>
    <row r="13" spans="1:12" ht="13.5" thickBot="1" x14ac:dyDescent="0.25">
      <c r="B13" s="7" t="s">
        <v>153</v>
      </c>
      <c r="K13" s="24"/>
      <c r="L13" t="s">
        <v>154</v>
      </c>
    </row>
    <row r="15" spans="1:12" ht="13.5" thickBot="1" x14ac:dyDescent="0.25">
      <c r="B15" t="s">
        <v>314</v>
      </c>
    </row>
    <row r="16" spans="1:12" ht="13.5" thickBot="1" x14ac:dyDescent="0.25">
      <c r="B16" s="7" t="s">
        <v>315</v>
      </c>
      <c r="K16" s="24"/>
      <c r="L16" t="s">
        <v>155</v>
      </c>
    </row>
    <row r="17" spans="2:13" ht="13.5" thickBot="1" x14ac:dyDescent="0.25">
      <c r="B17" s="7"/>
      <c r="K17" s="35"/>
    </row>
    <row r="18" spans="2:13" ht="13.5" thickBot="1" x14ac:dyDescent="0.25">
      <c r="B18" s="7" t="s">
        <v>189</v>
      </c>
      <c r="K18" s="34">
        <f>OST*2.3+OSF*2.3</f>
        <v>0</v>
      </c>
      <c r="L18" t="s">
        <v>191</v>
      </c>
    </row>
    <row r="20" spans="2:13" x14ac:dyDescent="0.2">
      <c r="B20" t="s">
        <v>412</v>
      </c>
    </row>
    <row r="21" spans="2:13" x14ac:dyDescent="0.2">
      <c r="B21" t="s">
        <v>316</v>
      </c>
    </row>
    <row r="22" spans="2:13" x14ac:dyDescent="0.2">
      <c r="B22" t="s">
        <v>317</v>
      </c>
    </row>
    <row r="23" spans="2:13" x14ac:dyDescent="0.2">
      <c r="B23" t="s">
        <v>319</v>
      </c>
    </row>
    <row r="25" spans="2:13" x14ac:dyDescent="0.2">
      <c r="B25" s="7" t="s">
        <v>321</v>
      </c>
    </row>
    <row r="26" spans="2:13" x14ac:dyDescent="0.2">
      <c r="B26" t="s">
        <v>322</v>
      </c>
    </row>
    <row r="28" spans="2:13" x14ac:dyDescent="0.2">
      <c r="B28" s="7" t="s">
        <v>190</v>
      </c>
    </row>
    <row r="29" spans="2:13" x14ac:dyDescent="0.2">
      <c r="B29" t="s">
        <v>320</v>
      </c>
    </row>
    <row r="31" spans="2:13" ht="13.5" thickBot="1" x14ac:dyDescent="0.25">
      <c r="B31" s="7" t="s">
        <v>12</v>
      </c>
      <c r="E31" s="7">
        <v>1</v>
      </c>
      <c r="F31" s="7">
        <v>2</v>
      </c>
      <c r="G31" s="7">
        <v>3</v>
      </c>
      <c r="H31" s="7">
        <v>4</v>
      </c>
      <c r="I31" s="7" t="s">
        <v>362</v>
      </c>
      <c r="J31" s="7" t="s">
        <v>363</v>
      </c>
      <c r="K31" s="7" t="s">
        <v>364</v>
      </c>
      <c r="L31" s="7" t="s">
        <v>366</v>
      </c>
      <c r="M31" s="7" t="s">
        <v>377</v>
      </c>
    </row>
    <row r="32" spans="2:13" x14ac:dyDescent="0.2">
      <c r="B32" s="38" t="s">
        <v>151</v>
      </c>
      <c r="E32" s="37" t="s">
        <v>152</v>
      </c>
      <c r="F32" s="37" t="s">
        <v>152</v>
      </c>
      <c r="G32" s="37" t="s">
        <v>152</v>
      </c>
      <c r="H32" s="37" t="s">
        <v>152</v>
      </c>
      <c r="I32" s="37" t="s">
        <v>131</v>
      </c>
      <c r="J32" s="37" t="s">
        <v>131</v>
      </c>
      <c r="K32" s="37" t="s">
        <v>131</v>
      </c>
      <c r="L32" s="37" t="s">
        <v>131</v>
      </c>
      <c r="M32" s="37" t="s">
        <v>378</v>
      </c>
    </row>
    <row r="33" spans="2:14" x14ac:dyDescent="0.2">
      <c r="B33" s="38" t="s">
        <v>156</v>
      </c>
      <c r="E33" s="3">
        <v>45</v>
      </c>
      <c r="F33" s="3"/>
      <c r="G33" s="3"/>
      <c r="H33" s="3"/>
      <c r="I33" s="3">
        <v>55</v>
      </c>
      <c r="J33" s="3">
        <v>45</v>
      </c>
      <c r="K33" s="3">
        <v>30</v>
      </c>
      <c r="L33" s="3">
        <v>25</v>
      </c>
      <c r="M33" s="3">
        <v>4.5</v>
      </c>
    </row>
    <row r="34" spans="2:14" x14ac:dyDescent="0.2">
      <c r="B34" s="38" t="s">
        <v>159</v>
      </c>
      <c r="E34" s="3"/>
      <c r="F34" s="3"/>
      <c r="G34" s="3"/>
      <c r="H34" s="3"/>
      <c r="I34" s="3">
        <v>6540</v>
      </c>
      <c r="J34" s="3">
        <v>800</v>
      </c>
      <c r="K34" s="3">
        <v>200</v>
      </c>
      <c r="L34" s="3">
        <v>100</v>
      </c>
      <c r="M34" s="3">
        <v>6000</v>
      </c>
    </row>
    <row r="35" spans="2:14" x14ac:dyDescent="0.2">
      <c r="B35" s="38" t="s">
        <v>157</v>
      </c>
      <c r="E35" s="3">
        <v>11</v>
      </c>
      <c r="F35" s="3"/>
      <c r="G35" s="3"/>
      <c r="H35" s="3"/>
      <c r="I35" s="3">
        <v>11</v>
      </c>
      <c r="J35" s="3"/>
      <c r="K35" s="3"/>
      <c r="L35" s="3"/>
      <c r="M35" s="3">
        <v>7.5</v>
      </c>
    </row>
    <row r="36" spans="2:14" ht="13.5" thickBot="1" x14ac:dyDescent="0.25">
      <c r="B36" s="38" t="s">
        <v>158</v>
      </c>
      <c r="E36" s="36">
        <f>_ANM1/_MPG1*11.5</f>
        <v>0</v>
      </c>
      <c r="F36" s="36">
        <f>IF(_ANM2=0,0,IF(_ANM2&gt;0,(_ANM2/_MPG2*11.5)))</f>
        <v>0</v>
      </c>
      <c r="G36" s="36">
        <f>IF(_ANM3=0,0,IF(_ANM3&gt;0,(_ANM3/_MPG3*11.5)))</f>
        <v>0</v>
      </c>
      <c r="H36" s="36">
        <f>IF(_ANM4=0,0,IF(_ANM4&gt;0,(_ANM4/_MPG4*11.5)))</f>
        <v>0</v>
      </c>
      <c r="I36" s="36">
        <f>IF(_ANM5=0,0,IF(_ANM5&gt;0,(_ANM5/_MPG5*11.5)))</f>
        <v>1367.4545454545455</v>
      </c>
      <c r="J36" s="36">
        <f>IF(_ANM6=0,0,IF(_ANM6&gt;0,(_ANM6/_MPG6*11.5)))</f>
        <v>204.44444444444446</v>
      </c>
      <c r="K36" s="36">
        <f>IF(_ANM7=0,0,IF(_ANM7&gt;0,(_ANM7/_MPG7*11.5)))</f>
        <v>76.666666666666671</v>
      </c>
      <c r="L36" s="36">
        <f>IF(_ANM8=0,0,IF(_ANM8&gt;0,(_ANM8/_MPG8*11.5)))</f>
        <v>46</v>
      </c>
      <c r="M36" s="36">
        <f>IF(_ANM9=0,0,IF(_ANM9&gt;0,(_ANM9/_MPG9*7.5)))</f>
        <v>10000</v>
      </c>
      <c r="N36">
        <f>SUM(M36)</f>
        <v>10000</v>
      </c>
    </row>
    <row r="37" spans="2:14" ht="13.5" thickBot="1" x14ac:dyDescent="0.25">
      <c r="B37" s="7"/>
      <c r="F37" s="35"/>
      <c r="G37" s="35"/>
      <c r="H37" s="35"/>
      <c r="I37" s="35"/>
      <c r="J37" s="35"/>
      <c r="K37" s="35"/>
      <c r="L37" s="35"/>
      <c r="M37" s="35"/>
      <c r="N37" s="35"/>
    </row>
    <row r="38" spans="2:14" ht="13.5" thickBot="1" x14ac:dyDescent="0.25">
      <c r="B38" s="7" t="s">
        <v>193</v>
      </c>
      <c r="K38" s="39">
        <f>SUM(E36:M36)</f>
        <v>11694.565656565657</v>
      </c>
      <c r="L38" t="s">
        <v>194</v>
      </c>
    </row>
    <row r="40" spans="2:14" x14ac:dyDescent="0.2">
      <c r="B40" s="7" t="s">
        <v>160</v>
      </c>
    </row>
    <row r="41" spans="2:14" x14ac:dyDescent="0.2">
      <c r="B41" t="s">
        <v>323</v>
      </c>
    </row>
    <row r="42" spans="2:14" x14ac:dyDescent="0.2">
      <c r="B42" t="s">
        <v>324</v>
      </c>
      <c r="J42" t="s">
        <v>325</v>
      </c>
      <c r="K42" t="s">
        <v>326</v>
      </c>
    </row>
    <row r="43" spans="2:14" ht="13.5" thickBot="1" x14ac:dyDescent="0.25"/>
    <row r="44" spans="2:14" x14ac:dyDescent="0.2">
      <c r="B44" s="38" t="s">
        <v>161</v>
      </c>
      <c r="H44" s="2">
        <v>80</v>
      </c>
      <c r="I44" t="s">
        <v>169</v>
      </c>
      <c r="J44" s="40">
        <v>0.14000000000000001</v>
      </c>
      <c r="K44" s="40">
        <f>LTL*LTLF</f>
        <v>11.200000000000001</v>
      </c>
    </row>
    <row r="45" spans="2:14" x14ac:dyDescent="0.2">
      <c r="B45" s="38" t="s">
        <v>162</v>
      </c>
      <c r="H45" s="3">
        <v>200</v>
      </c>
      <c r="I45" t="s">
        <v>170</v>
      </c>
      <c r="J45" s="40">
        <v>0.1</v>
      </c>
      <c r="K45" s="40">
        <f>LDT*LDTF</f>
        <v>20</v>
      </c>
    </row>
    <row r="46" spans="2:14" x14ac:dyDescent="0.2">
      <c r="B46" s="38" t="s">
        <v>163</v>
      </c>
      <c r="H46" s="3">
        <v>0</v>
      </c>
      <c r="I46" t="s">
        <v>171</v>
      </c>
      <c r="J46" s="40">
        <v>0.15</v>
      </c>
      <c r="K46" s="40">
        <f>LBL*LBLF</f>
        <v>0</v>
      </c>
    </row>
    <row r="47" spans="2:14" ht="13.5" thickBot="1" x14ac:dyDescent="0.25">
      <c r="B47" s="38" t="s">
        <v>164</v>
      </c>
      <c r="H47" s="4">
        <v>0</v>
      </c>
      <c r="I47" t="s">
        <v>172</v>
      </c>
      <c r="J47" s="40">
        <v>0.1</v>
      </c>
      <c r="K47" s="40">
        <f>LDB*LDBF</f>
        <v>0</v>
      </c>
    </row>
    <row r="48" spans="2:14" ht="13.5" thickBot="1" x14ac:dyDescent="0.25">
      <c r="B48" s="38" t="s">
        <v>178</v>
      </c>
      <c r="K48" s="39">
        <f>LTLE+LDTE+LBLE+LDBE</f>
        <v>31.200000000000003</v>
      </c>
      <c r="L48" t="s">
        <v>180</v>
      </c>
    </row>
    <row r="49" spans="2:12" ht="13.5" thickBot="1" x14ac:dyDescent="0.25"/>
    <row r="50" spans="2:12" x14ac:dyDescent="0.2">
      <c r="B50" s="38" t="s">
        <v>165</v>
      </c>
      <c r="H50" s="2">
        <v>0</v>
      </c>
      <c r="I50" t="s">
        <v>173</v>
      </c>
      <c r="J50" s="40">
        <v>0.55000000000000004</v>
      </c>
      <c r="K50" s="40">
        <f>SHF*600*0.55</f>
        <v>0</v>
      </c>
    </row>
    <row r="51" spans="2:12" x14ac:dyDescent="0.2">
      <c r="B51" s="38" t="s">
        <v>166</v>
      </c>
      <c r="H51" s="3">
        <v>0</v>
      </c>
      <c r="I51" t="s">
        <v>174</v>
      </c>
      <c r="J51" s="40">
        <v>0.5</v>
      </c>
      <c r="K51" s="40">
        <f>MHF*MHFF*2000</f>
        <v>0</v>
      </c>
    </row>
    <row r="52" spans="2:12" x14ac:dyDescent="0.2">
      <c r="B52" s="38" t="s">
        <v>167</v>
      </c>
      <c r="H52" s="3"/>
      <c r="I52" t="s">
        <v>175</v>
      </c>
      <c r="J52" s="40">
        <v>0.45</v>
      </c>
      <c r="K52" s="40">
        <f>LHF*LHFF*10000</f>
        <v>0</v>
      </c>
    </row>
    <row r="53" spans="2:12" ht="13.5" thickBot="1" x14ac:dyDescent="0.25">
      <c r="B53" s="38" t="s">
        <v>168</v>
      </c>
      <c r="H53" s="4">
        <v>0</v>
      </c>
      <c r="I53" t="s">
        <v>176</v>
      </c>
      <c r="J53" s="40">
        <v>0.4</v>
      </c>
      <c r="K53" s="40">
        <f>VLHF*VLHFF*20000</f>
        <v>0</v>
      </c>
    </row>
    <row r="54" spans="2:12" ht="13.5" thickBot="1" x14ac:dyDescent="0.25">
      <c r="B54" s="38" t="s">
        <v>179</v>
      </c>
      <c r="K54" s="39">
        <f>SHFE+MHFE+LHFE+VLHFE</f>
        <v>0</v>
      </c>
      <c r="L54" t="s">
        <v>181</v>
      </c>
    </row>
    <row r="55" spans="2:12" ht="13.5" thickBot="1" x14ac:dyDescent="0.25"/>
    <row r="56" spans="2:12" ht="13.5" thickBot="1" x14ac:dyDescent="0.25">
      <c r="B56" s="41" t="s">
        <v>192</v>
      </c>
      <c r="H56" s="23">
        <f>MVT+OVT+TSPT+TAF</f>
        <v>11725.765656565658</v>
      </c>
      <c r="I56" t="s">
        <v>244</v>
      </c>
    </row>
  </sheetData>
  <customSheetViews>
    <customSheetView guid="{5DDB5E46-F5AF-4025-A0A8-B64361C1F352}" topLeftCell="A25">
      <selection activeCell="B28" sqref="B28:M57"/>
      <pageMargins left="0.75" right="0.75" top="1" bottom="1" header="0.5" footer="0.5"/>
      <pageSetup paperSize="9" orientation="landscape" r:id="rId1"/>
      <headerFooter alignWithMargins="0"/>
    </customSheetView>
    <customSheetView guid="{7F8786F5-02F7-433D-98AC-0C6AE08AD9EF}" showRuler="0" topLeftCell="C31">
      <selection activeCell="H56" sqref="H56"/>
      <pageMargins left="0.75" right="0.75" top="1" bottom="1" header="0.5" footer="0.5"/>
      <pageSetup paperSize="9" orientation="landscape" horizontalDpi="0" verticalDpi="0" r:id="rId2"/>
      <headerFooter alignWithMargins="0"/>
    </customSheetView>
  </customSheetViews>
  <phoneticPr fontId="2" type="noConversion"/>
  <pageMargins left="0.75" right="0.75" top="1" bottom="1" header="0.5" footer="0.5"/>
  <pageSetup paperSize="9" orientation="landscape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9" workbookViewId="0">
      <selection activeCell="F37" sqref="F37"/>
    </sheetView>
  </sheetViews>
  <sheetFormatPr defaultRowHeight="12.75" x14ac:dyDescent="0.2"/>
  <cols>
    <col min="3" max="3" width="22.85546875" customWidth="1"/>
    <col min="4" max="4" width="12" customWidth="1"/>
    <col min="5" max="5" width="10.140625" customWidth="1"/>
  </cols>
  <sheetData>
    <row r="1" spans="1:10" x14ac:dyDescent="0.2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x14ac:dyDescent="0.2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x14ac:dyDescent="0.2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x14ac:dyDescent="0.2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9.5" x14ac:dyDescent="0.25">
      <c r="A5" s="8"/>
      <c r="B5" s="8"/>
      <c r="C5" s="8"/>
      <c r="D5" s="10" t="s">
        <v>248</v>
      </c>
      <c r="E5" s="10"/>
      <c r="F5" s="10"/>
      <c r="G5" s="10"/>
      <c r="H5" s="10"/>
      <c r="I5" s="10"/>
      <c r="J5" s="10"/>
    </row>
    <row r="6" spans="1:10" x14ac:dyDescent="0.2">
      <c r="A6" s="8"/>
      <c r="B6" s="8"/>
      <c r="C6" s="8"/>
      <c r="D6" s="7" t="s">
        <v>99</v>
      </c>
      <c r="E6" s="8"/>
      <c r="F6" s="8"/>
      <c r="G6" s="8"/>
      <c r="H6" s="8"/>
      <c r="I6" s="8"/>
      <c r="J6" s="8"/>
    </row>
    <row r="7" spans="1:10" x14ac:dyDescent="0.2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x14ac:dyDescent="0.2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x14ac:dyDescent="0.2">
      <c r="A9" s="8"/>
      <c r="B9" s="8"/>
      <c r="C9" s="8"/>
      <c r="D9" s="8"/>
      <c r="E9" s="8"/>
      <c r="F9" s="8"/>
      <c r="G9" s="8"/>
      <c r="H9" s="8"/>
      <c r="I9" s="8"/>
      <c r="J9" s="8"/>
    </row>
    <row r="11" spans="1:10" x14ac:dyDescent="0.2">
      <c r="B11" t="s">
        <v>100</v>
      </c>
    </row>
    <row r="13" spans="1:10" x14ac:dyDescent="0.2">
      <c r="B13" s="7" t="s">
        <v>101</v>
      </c>
      <c r="C13" s="7"/>
      <c r="D13" s="7"/>
      <c r="E13" s="7"/>
      <c r="F13" s="7"/>
      <c r="G13" s="7"/>
      <c r="H13" s="7"/>
      <c r="I13" s="7"/>
      <c r="J13" s="7"/>
    </row>
    <row r="14" spans="1:10" x14ac:dyDescent="0.2">
      <c r="B14" s="7" t="s">
        <v>104</v>
      </c>
      <c r="C14" s="7"/>
      <c r="D14" s="7"/>
      <c r="E14" s="7"/>
      <c r="F14" s="7"/>
      <c r="G14" s="7"/>
      <c r="H14" s="7"/>
      <c r="I14" s="7"/>
      <c r="J14" s="7"/>
    </row>
    <row r="15" spans="1:10" x14ac:dyDescent="0.2">
      <c r="B15" s="7" t="s">
        <v>102</v>
      </c>
      <c r="C15" s="7"/>
      <c r="D15" s="7"/>
      <c r="E15" s="7"/>
      <c r="F15" s="7"/>
      <c r="G15" s="7"/>
      <c r="H15" s="7"/>
      <c r="I15" s="7"/>
      <c r="J15" s="7"/>
    </row>
    <row r="16" spans="1:10" x14ac:dyDescent="0.2">
      <c r="B16" s="7" t="s">
        <v>103</v>
      </c>
      <c r="C16" s="7"/>
      <c r="D16" s="7"/>
      <c r="E16" s="7"/>
      <c r="F16" s="7"/>
      <c r="G16" s="7"/>
      <c r="H16" s="7"/>
      <c r="I16" s="7"/>
      <c r="J16" s="7"/>
    </row>
    <row r="17" spans="2:10" x14ac:dyDescent="0.2">
      <c r="B17" s="7" t="s">
        <v>105</v>
      </c>
      <c r="C17" s="7"/>
      <c r="D17" s="7"/>
      <c r="E17" s="7"/>
      <c r="F17" s="7"/>
      <c r="G17" s="7"/>
      <c r="H17" s="7"/>
      <c r="I17" s="7"/>
      <c r="J17" s="7"/>
    </row>
    <row r="18" spans="2:10" x14ac:dyDescent="0.2">
      <c r="B18" s="7"/>
      <c r="C18" s="7"/>
      <c r="D18" s="7"/>
      <c r="E18" s="7"/>
      <c r="F18" s="7"/>
      <c r="G18" s="7"/>
      <c r="H18" s="7"/>
      <c r="I18" s="7"/>
      <c r="J18" s="7"/>
    </row>
    <row r="19" spans="2:10" x14ac:dyDescent="0.2">
      <c r="B19" s="7" t="s">
        <v>243</v>
      </c>
      <c r="C19" s="7"/>
      <c r="D19" s="7"/>
      <c r="E19" s="7"/>
      <c r="F19" s="7"/>
      <c r="G19" s="7"/>
      <c r="H19" s="7"/>
      <c r="I19" s="7"/>
      <c r="J19" s="7"/>
    </row>
    <row r="20" spans="2:10" x14ac:dyDescent="0.2">
      <c r="B20" s="7"/>
      <c r="C20" s="7"/>
      <c r="D20" s="7" t="s">
        <v>407</v>
      </c>
      <c r="E20" s="7" t="s">
        <v>408</v>
      </c>
      <c r="F20" s="7" t="s">
        <v>409</v>
      </c>
      <c r="G20" s="7"/>
      <c r="H20" s="7"/>
      <c r="I20" s="7"/>
      <c r="J20" s="7"/>
    </row>
    <row r="21" spans="2:10" x14ac:dyDescent="0.2">
      <c r="B21" s="7"/>
      <c r="C21" s="7" t="s">
        <v>368</v>
      </c>
      <c r="D21" s="7">
        <v>2700</v>
      </c>
      <c r="E21" s="7">
        <v>500</v>
      </c>
      <c r="F21" s="7">
        <v>1350</v>
      </c>
      <c r="G21" s="7" t="s">
        <v>384</v>
      </c>
      <c r="H21" s="7"/>
      <c r="I21" s="7"/>
      <c r="J21" s="7"/>
    </row>
    <row r="22" spans="2:10" x14ac:dyDescent="0.2">
      <c r="B22" s="7"/>
      <c r="C22" s="7" t="s">
        <v>369</v>
      </c>
      <c r="D22" s="7">
        <v>120</v>
      </c>
      <c r="E22" s="7">
        <v>1200</v>
      </c>
      <c r="F22" s="7">
        <v>144</v>
      </c>
      <c r="G22" s="7"/>
      <c r="H22" s="7"/>
      <c r="I22" s="7"/>
      <c r="J22" s="7"/>
    </row>
    <row r="23" spans="2:10" x14ac:dyDescent="0.2">
      <c r="B23" s="7"/>
      <c r="C23" s="7" t="s">
        <v>371</v>
      </c>
      <c r="D23" s="7">
        <v>100</v>
      </c>
      <c r="E23" s="7">
        <v>1200</v>
      </c>
      <c r="F23" s="7">
        <v>120</v>
      </c>
      <c r="G23" s="7"/>
      <c r="H23" s="7"/>
      <c r="I23" s="7"/>
      <c r="J23" s="7"/>
    </row>
    <row r="24" spans="2:10" x14ac:dyDescent="0.2">
      <c r="B24" s="7"/>
      <c r="C24" s="7" t="s">
        <v>370</v>
      </c>
      <c r="D24" s="7" t="s">
        <v>372</v>
      </c>
      <c r="E24" s="7"/>
      <c r="F24" s="7">
        <v>15000</v>
      </c>
      <c r="G24" s="7" t="s">
        <v>383</v>
      </c>
      <c r="H24" s="7"/>
      <c r="I24" s="7"/>
      <c r="J24" s="7"/>
    </row>
    <row r="25" spans="2:10" x14ac:dyDescent="0.2">
      <c r="B25" s="7"/>
      <c r="C25" s="7" t="s">
        <v>373</v>
      </c>
      <c r="D25" s="7">
        <v>100</v>
      </c>
      <c r="E25" s="7"/>
      <c r="F25" s="7">
        <v>2800</v>
      </c>
      <c r="G25" s="7" t="s">
        <v>385</v>
      </c>
      <c r="H25" s="7"/>
      <c r="I25" s="7"/>
      <c r="J25" s="7"/>
    </row>
    <row r="26" spans="2:10" x14ac:dyDescent="0.2">
      <c r="B26" s="7"/>
      <c r="C26" s="7" t="s">
        <v>374</v>
      </c>
      <c r="D26" s="7" t="s">
        <v>375</v>
      </c>
      <c r="E26" s="7"/>
      <c r="F26" s="7">
        <v>0</v>
      </c>
      <c r="G26" s="7"/>
      <c r="H26" s="7"/>
      <c r="I26" s="7"/>
      <c r="J26" s="7"/>
    </row>
    <row r="27" spans="2:10" x14ac:dyDescent="0.2">
      <c r="B27" s="7"/>
      <c r="C27" s="7" t="s">
        <v>413</v>
      </c>
      <c r="D27" s="7">
        <v>50</v>
      </c>
      <c r="E27" s="7">
        <v>500</v>
      </c>
      <c r="F27" s="7">
        <v>25</v>
      </c>
      <c r="G27" s="7" t="s">
        <v>386</v>
      </c>
      <c r="H27" s="7"/>
      <c r="I27" s="7"/>
      <c r="J27" s="7"/>
    </row>
    <row r="28" spans="2:10" x14ac:dyDescent="0.2">
      <c r="B28" s="7"/>
      <c r="C28" s="7" t="s">
        <v>414</v>
      </c>
      <c r="D28" s="7">
        <v>100</v>
      </c>
      <c r="E28" s="7">
        <v>500</v>
      </c>
      <c r="F28" s="7">
        <v>50</v>
      </c>
      <c r="G28" s="7" t="s">
        <v>386</v>
      </c>
      <c r="H28" s="7"/>
      <c r="I28" s="7"/>
      <c r="J28" s="7"/>
    </row>
    <row r="29" spans="2:10" x14ac:dyDescent="0.2">
      <c r="B29" s="7"/>
      <c r="C29" s="7" t="s">
        <v>376</v>
      </c>
      <c r="D29" s="7">
        <v>2200</v>
      </c>
      <c r="E29" s="7">
        <v>1500</v>
      </c>
      <c r="F29" s="7">
        <v>3300</v>
      </c>
      <c r="G29" s="7" t="s">
        <v>387</v>
      </c>
      <c r="H29" s="7"/>
      <c r="I29" s="7"/>
      <c r="J29" s="7"/>
    </row>
    <row r="30" spans="2:10" x14ac:dyDescent="0.2">
      <c r="B30" s="7"/>
      <c r="C30" s="7"/>
      <c r="D30" s="7"/>
      <c r="E30" s="7"/>
      <c r="F30" s="7"/>
      <c r="G30" s="7"/>
      <c r="H30" s="7"/>
      <c r="I30" s="7"/>
      <c r="J30" s="7"/>
    </row>
    <row r="31" spans="2:10" x14ac:dyDescent="0.2">
      <c r="B31" s="7"/>
      <c r="C31" s="7"/>
      <c r="D31" s="7"/>
      <c r="E31" s="7"/>
      <c r="F31" s="7">
        <f>SUM($F21:F29)</f>
        <v>22789</v>
      </c>
      <c r="G31" s="7" t="s">
        <v>388</v>
      </c>
      <c r="H31" s="7"/>
      <c r="I31" s="7"/>
      <c r="J31" s="7"/>
    </row>
    <row r="32" spans="2:10" x14ac:dyDescent="0.2">
      <c r="B32" s="7"/>
      <c r="C32" s="7"/>
      <c r="D32" s="7"/>
      <c r="E32" s="7"/>
      <c r="F32" s="7"/>
      <c r="G32" s="7"/>
      <c r="H32" s="7"/>
      <c r="I32" s="7"/>
      <c r="J32" s="7"/>
    </row>
    <row r="33" spans="2:10" x14ac:dyDescent="0.2">
      <c r="B33" s="7"/>
      <c r="C33" s="7"/>
      <c r="D33" s="7"/>
      <c r="E33" s="7" t="s">
        <v>389</v>
      </c>
      <c r="F33" s="7"/>
      <c r="G33" s="7"/>
      <c r="H33" s="7"/>
      <c r="I33" s="7"/>
      <c r="J33" s="7"/>
    </row>
    <row r="34" spans="2:10" x14ac:dyDescent="0.2">
      <c r="B34" s="7"/>
      <c r="C34" s="7"/>
      <c r="D34" s="7"/>
      <c r="E34" s="7" t="s">
        <v>390</v>
      </c>
      <c r="F34" s="7"/>
      <c r="G34" s="7"/>
      <c r="H34" s="7"/>
      <c r="I34" s="7"/>
      <c r="J34" s="7"/>
    </row>
  </sheetData>
  <customSheetViews>
    <customSheetView guid="{5DDB5E46-F5AF-4025-A0A8-B64361C1F352}" topLeftCell="A9">
      <selection activeCell="F37" sqref="F37"/>
      <pageMargins left="0.75" right="0.75" top="1" bottom="1" header="0.5" footer="0.5"/>
      <pageSetup paperSize="9" orientation="portrait" r:id="rId1"/>
      <headerFooter alignWithMargins="0"/>
    </customSheetView>
    <customSheetView guid="{7F8786F5-02F7-433D-98AC-0C6AE08AD9EF}" showRuler="0">
      <selection activeCell="F27" sqref="F27"/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pageSetup paperSize="9" orientation="portrait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A2" workbookViewId="0">
      <selection activeCell="K55" sqref="K55"/>
    </sheetView>
  </sheetViews>
  <sheetFormatPr defaultRowHeight="12.75" x14ac:dyDescent="0.2"/>
  <cols>
    <col min="2" max="2" width="11.140625" customWidth="1"/>
    <col min="3" max="3" width="12.7109375" customWidth="1"/>
  </cols>
  <sheetData>
    <row r="1" spans="1:10" x14ac:dyDescent="0.2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x14ac:dyDescent="0.2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x14ac:dyDescent="0.2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x14ac:dyDescent="0.2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9.5" x14ac:dyDescent="0.25">
      <c r="A5" s="8"/>
      <c r="B5" s="8"/>
      <c r="C5" s="8"/>
      <c r="D5" s="10" t="s">
        <v>248</v>
      </c>
      <c r="E5" s="10"/>
      <c r="F5" s="10"/>
      <c r="G5" s="10"/>
      <c r="H5" s="10"/>
      <c r="I5" s="10"/>
      <c r="J5" s="10"/>
    </row>
    <row r="6" spans="1:10" x14ac:dyDescent="0.2">
      <c r="A6" s="8"/>
      <c r="B6" s="8"/>
      <c r="C6" s="8"/>
      <c r="D6" s="7" t="s">
        <v>5</v>
      </c>
      <c r="E6" s="8"/>
      <c r="F6" s="8"/>
      <c r="G6" s="8"/>
      <c r="H6" s="8"/>
      <c r="I6" s="8"/>
      <c r="J6" s="8"/>
    </row>
    <row r="7" spans="1:10" x14ac:dyDescent="0.2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x14ac:dyDescent="0.2">
      <c r="A8" s="8"/>
      <c r="B8" s="8"/>
      <c r="C8" s="8"/>
      <c r="D8" s="8"/>
      <c r="E8" s="8"/>
      <c r="F8" s="8"/>
      <c r="G8" s="8"/>
      <c r="H8" s="8"/>
      <c r="I8" s="8"/>
      <c r="J8" s="8"/>
    </row>
    <row r="10" spans="1:10" x14ac:dyDescent="0.2">
      <c r="B10" t="s">
        <v>327</v>
      </c>
    </row>
    <row r="11" spans="1:10" x14ac:dyDescent="0.2">
      <c r="B11" t="s">
        <v>328</v>
      </c>
    </row>
    <row r="12" spans="1:10" x14ac:dyDescent="0.2">
      <c r="B12" t="s">
        <v>329</v>
      </c>
    </row>
    <row r="13" spans="1:10" x14ac:dyDescent="0.2">
      <c r="B13" t="s">
        <v>330</v>
      </c>
    </row>
    <row r="14" spans="1:10" x14ac:dyDescent="0.2">
      <c r="B14" t="s">
        <v>331</v>
      </c>
    </row>
    <row r="16" spans="1:10" x14ac:dyDescent="0.2">
      <c r="B16" t="s">
        <v>332</v>
      </c>
    </row>
    <row r="17" spans="2:14" x14ac:dyDescent="0.2">
      <c r="B17" t="s">
        <v>333</v>
      </c>
    </row>
    <row r="19" spans="2:14" x14ac:dyDescent="0.2">
      <c r="B19" s="7" t="s">
        <v>113</v>
      </c>
    </row>
    <row r="20" spans="2:14" x14ac:dyDescent="0.2">
      <c r="B20" t="s">
        <v>118</v>
      </c>
    </row>
    <row r="22" spans="2:14" x14ac:dyDescent="0.2">
      <c r="B22" s="7" t="s">
        <v>114</v>
      </c>
    </row>
    <row r="23" spans="2:14" x14ac:dyDescent="0.2">
      <c r="B23" t="s">
        <v>116</v>
      </c>
    </row>
    <row r="25" spans="2:14" x14ac:dyDescent="0.2">
      <c r="B25" s="7" t="s">
        <v>115</v>
      </c>
    </row>
    <row r="26" spans="2:14" x14ac:dyDescent="0.2">
      <c r="B26" t="s">
        <v>120</v>
      </c>
      <c r="G26" s="5"/>
      <c r="H26" s="5"/>
      <c r="I26" s="5"/>
      <c r="J26" s="5"/>
      <c r="K26" s="5"/>
      <c r="L26" s="5"/>
      <c r="M26" s="5"/>
      <c r="N26" s="5"/>
    </row>
    <row r="27" spans="2:14" x14ac:dyDescent="0.2">
      <c r="G27" s="5"/>
      <c r="H27" s="5"/>
      <c r="I27" s="5"/>
      <c r="J27" s="5"/>
      <c r="K27" s="5"/>
      <c r="L27" s="5"/>
      <c r="M27" s="5"/>
      <c r="N27" s="5"/>
    </row>
    <row r="28" spans="2:14" x14ac:dyDescent="0.2">
      <c r="B28" t="s">
        <v>334</v>
      </c>
    </row>
    <row r="29" spans="2:14" x14ac:dyDescent="0.2">
      <c r="B29" s="7" t="s">
        <v>119</v>
      </c>
    </row>
    <row r="30" spans="2:14" x14ac:dyDescent="0.2">
      <c r="B30" t="s">
        <v>335</v>
      </c>
    </row>
    <row r="31" spans="2:14" ht="13.5" thickBot="1" x14ac:dyDescent="0.25"/>
    <row r="32" spans="2:14" ht="13.5" thickBot="1" x14ac:dyDescent="0.25">
      <c r="B32" s="7" t="s">
        <v>7</v>
      </c>
      <c r="E32" t="s">
        <v>110</v>
      </c>
      <c r="F32" s="24" t="s">
        <v>224</v>
      </c>
      <c r="G32" s="5">
        <f>IF(_MOD1="CAR, SINGLE OCCUPANT",0.38,IF(_MOD1="CAR, 2+OCC",0.15,IF(_MOD1="TRAIN",0.12,IF(_MOD1="BUS",0.15,IF(_MOD1="BIKE",0.02,IF(_MOD1="WALK",0.03,IF(_MOD1="NONE",0)))))))</f>
        <v>0.38</v>
      </c>
      <c r="I32" s="46" t="s">
        <v>226</v>
      </c>
      <c r="J32" s="40"/>
      <c r="K32" s="40"/>
      <c r="L32" s="5"/>
      <c r="M32" s="5"/>
    </row>
    <row r="33" spans="2:14" ht="13.5" thickBot="1" x14ac:dyDescent="0.25">
      <c r="B33" t="s">
        <v>9</v>
      </c>
      <c r="E33" t="s">
        <v>109</v>
      </c>
      <c r="F33" s="42">
        <v>20</v>
      </c>
      <c r="I33" s="40" t="s">
        <v>224</v>
      </c>
      <c r="J33" s="40"/>
      <c r="K33" s="40"/>
      <c r="L33" s="5"/>
      <c r="M33" s="5"/>
    </row>
    <row r="34" spans="2:14" ht="13.5" thickBot="1" x14ac:dyDescent="0.25">
      <c r="B34" s="7" t="s">
        <v>8</v>
      </c>
      <c r="F34" s="24" t="s">
        <v>106</v>
      </c>
      <c r="G34" s="5">
        <f>IF(_MOD2="CAR, SINGLE OCCUPANT",0.38,IF(_MOD2="CAR, 2+OCC",0.15,IF(_MOD2="TRAIN",0.12,IF(_MOD2="BUS",0.15,IF(_MOD2="BIKE",0.02,IF(_MOD2="WALK",0.03,IF(_MOD2="NONE",0)))))))</f>
        <v>0</v>
      </c>
      <c r="I34" s="40" t="s">
        <v>225</v>
      </c>
      <c r="J34" s="40"/>
      <c r="K34" s="40"/>
      <c r="L34" s="5"/>
      <c r="M34" s="5"/>
    </row>
    <row r="35" spans="2:14" ht="13.5" thickBot="1" x14ac:dyDescent="0.25">
      <c r="B35" t="s">
        <v>9</v>
      </c>
      <c r="E35" t="s">
        <v>108</v>
      </c>
      <c r="F35" s="42">
        <v>0</v>
      </c>
      <c r="I35" s="40" t="s">
        <v>14</v>
      </c>
      <c r="J35" s="40"/>
      <c r="K35" s="40"/>
      <c r="L35" s="5"/>
      <c r="M35" s="5"/>
    </row>
    <row r="36" spans="2:14" ht="13.5" thickBot="1" x14ac:dyDescent="0.25">
      <c r="B36" s="7" t="s">
        <v>11</v>
      </c>
      <c r="F36" s="24" t="s">
        <v>106</v>
      </c>
      <c r="G36" s="5">
        <f>IF(_MOD3="CAR",0.2,IF(_MOD3="TRAIN",0.12,IF(_MOD3="BUS",0.15,IF(_MOD3="BIKE",0.02,IF(_MOD3="WALK",0.03,IF(_MOD3="NONE",0))))))</f>
        <v>0</v>
      </c>
      <c r="I36" s="40" t="s">
        <v>15</v>
      </c>
      <c r="J36" s="40"/>
      <c r="K36" s="40"/>
      <c r="L36" s="5"/>
      <c r="M36" s="5"/>
    </row>
    <row r="37" spans="2:14" ht="13.5" thickBot="1" x14ac:dyDescent="0.25">
      <c r="B37" t="s">
        <v>9</v>
      </c>
      <c r="E37" t="s">
        <v>107</v>
      </c>
      <c r="F37" s="42">
        <v>0</v>
      </c>
      <c r="G37" s="5"/>
      <c r="I37" s="40" t="s">
        <v>17</v>
      </c>
      <c r="J37" s="40"/>
      <c r="K37" s="40"/>
      <c r="L37" s="5"/>
      <c r="M37" s="5"/>
      <c r="N37" s="5"/>
    </row>
    <row r="38" spans="2:14" ht="13.5" thickBot="1" x14ac:dyDescent="0.25">
      <c r="B38" s="7" t="s">
        <v>6</v>
      </c>
      <c r="E38" t="s">
        <v>111</v>
      </c>
      <c r="F38" s="25">
        <v>225</v>
      </c>
      <c r="I38" s="40" t="s">
        <v>16</v>
      </c>
      <c r="J38" s="40"/>
      <c r="K38" s="40"/>
    </row>
    <row r="39" spans="2:14" ht="13.5" thickBot="1" x14ac:dyDescent="0.25">
      <c r="I39" s="40" t="s">
        <v>106</v>
      </c>
      <c r="J39" s="40"/>
      <c r="K39" s="40"/>
    </row>
    <row r="40" spans="2:14" ht="13.5" thickBot="1" x14ac:dyDescent="0.25">
      <c r="B40" s="7" t="s">
        <v>112</v>
      </c>
      <c r="F40" s="43">
        <f>((MOD1R*_RD11)+(MOD2R*_RD2)+(MOD3R*_RD3))*DWA</f>
        <v>1710</v>
      </c>
    </row>
    <row r="43" spans="2:14" s="7" customFormat="1" ht="13.5" thickBot="1" x14ac:dyDescent="0.25">
      <c r="B43" s="7" t="s">
        <v>10</v>
      </c>
      <c r="D43" s="7" t="s">
        <v>362</v>
      </c>
      <c r="E43" s="7" t="s">
        <v>363</v>
      </c>
      <c r="F43" s="7" t="s">
        <v>364</v>
      </c>
      <c r="G43" s="7" t="s">
        <v>365</v>
      </c>
      <c r="H43" s="7" t="s">
        <v>366</v>
      </c>
      <c r="I43" s="7" t="s">
        <v>367</v>
      </c>
      <c r="J43" s="7">
        <v>7</v>
      </c>
      <c r="K43" s="7">
        <v>8</v>
      </c>
      <c r="L43" s="7">
        <v>9</v>
      </c>
      <c r="M43" s="7">
        <v>10</v>
      </c>
    </row>
    <row r="44" spans="2:14" ht="13.5" thickBot="1" x14ac:dyDescent="0.25">
      <c r="B44" t="s">
        <v>336</v>
      </c>
      <c r="D44" s="44">
        <v>1710</v>
      </c>
      <c r="E44" s="44">
        <v>7011</v>
      </c>
      <c r="F44" s="44">
        <v>1170</v>
      </c>
      <c r="G44" s="44">
        <v>345</v>
      </c>
      <c r="H44" s="44">
        <v>691</v>
      </c>
      <c r="I44" s="44">
        <v>927</v>
      </c>
      <c r="J44" s="44"/>
      <c r="K44" s="44"/>
      <c r="L44" s="44"/>
      <c r="M44" s="44"/>
    </row>
    <row r="46" spans="2:14" ht="13.5" thickBot="1" x14ac:dyDescent="0.25"/>
    <row r="47" spans="2:14" ht="13.5" thickBot="1" x14ac:dyDescent="0.25">
      <c r="B47" s="7" t="s">
        <v>117</v>
      </c>
      <c r="E47" s="45">
        <f>_COM1+_COM2+_COM3+_COM4+_COM5+_COM6+_COM7+_COM8+_COM9+_COM10</f>
        <v>11854</v>
      </c>
      <c r="G47" s="23">
        <f>_TOT1+_TOT2</f>
        <v>11888</v>
      </c>
      <c r="H47" t="s">
        <v>222</v>
      </c>
    </row>
    <row r="48" spans="2:14" ht="13.5" thickBot="1" x14ac:dyDescent="0.25">
      <c r="E48" s="34">
        <v>34</v>
      </c>
    </row>
  </sheetData>
  <customSheetViews>
    <customSheetView guid="{5DDB5E46-F5AF-4025-A0A8-B64361C1F352}" topLeftCell="A2">
      <selection activeCell="K55" sqref="K55"/>
      <pageMargins left="0.75" right="0.75" top="1" bottom="1" header="0.5" footer="0.5"/>
      <pageSetup paperSize="9" scale="90" orientation="landscape" horizontalDpi="0" verticalDpi="0" r:id="rId1"/>
      <headerFooter alignWithMargins="0"/>
    </customSheetView>
    <customSheetView guid="{7F8786F5-02F7-433D-98AC-0C6AE08AD9EF}" showRuler="0" topLeftCell="A2">
      <selection activeCell="K55" sqref="K55"/>
      <pageMargins left="0.75" right="0.75" top="1" bottom="1" header="0.5" footer="0.5"/>
      <pageSetup paperSize="9" scale="90" orientation="landscape" horizontalDpi="0" verticalDpi="0" r:id="rId2"/>
      <headerFooter alignWithMargins="0"/>
    </customSheetView>
  </customSheetViews>
  <phoneticPr fontId="2" type="noConversion"/>
  <dataValidations count="1">
    <dataValidation type="list" allowBlank="1" showInputMessage="1" showErrorMessage="1" sqref="F36 F32 F34">
      <formula1>$I$33:$I$39</formula1>
    </dataValidation>
  </dataValidations>
  <pageMargins left="0.75" right="0.75" top="1" bottom="1" header="0.5" footer="0.5"/>
  <pageSetup paperSize="9" scale="90" orientation="landscape" horizontalDpi="0" verticalDpi="0" r:id="rId3"/>
  <headerFooter alignWithMargins="0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0"/>
  <sheetViews>
    <sheetView topLeftCell="A33" workbookViewId="0">
      <selection activeCell="B25" sqref="B25:P61"/>
    </sheetView>
  </sheetViews>
  <sheetFormatPr defaultRowHeight="12.75" x14ac:dyDescent="0.2"/>
  <cols>
    <col min="2" max="2" width="17.7109375" customWidth="1"/>
    <col min="4" max="4" width="14" customWidth="1"/>
    <col min="7" max="7" width="3.7109375" customWidth="1"/>
    <col min="10" max="10" width="14" customWidth="1"/>
  </cols>
  <sheetData>
    <row r="1" spans="1:10" x14ac:dyDescent="0.2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x14ac:dyDescent="0.2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x14ac:dyDescent="0.2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x14ac:dyDescent="0.2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9.5" x14ac:dyDescent="0.25">
      <c r="A5" s="8"/>
      <c r="B5" s="8"/>
      <c r="C5" s="8"/>
      <c r="D5" s="10" t="s">
        <v>248</v>
      </c>
      <c r="E5" s="10"/>
      <c r="F5" s="10"/>
      <c r="G5" s="10"/>
      <c r="H5" s="10"/>
      <c r="I5" s="10"/>
      <c r="J5" s="10"/>
    </row>
    <row r="6" spans="1:10" x14ac:dyDescent="0.2">
      <c r="A6" s="8"/>
      <c r="B6" s="8"/>
      <c r="C6" s="8"/>
      <c r="D6" s="7" t="s">
        <v>4</v>
      </c>
      <c r="E6" s="8"/>
      <c r="F6" s="8"/>
      <c r="G6" s="8"/>
      <c r="H6" s="8"/>
      <c r="I6" s="8"/>
      <c r="J6" s="8"/>
    </row>
    <row r="7" spans="1:10" x14ac:dyDescent="0.2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x14ac:dyDescent="0.2">
      <c r="A8" s="8"/>
      <c r="B8" s="8"/>
      <c r="C8" s="8"/>
      <c r="D8" s="8"/>
      <c r="E8" s="8"/>
      <c r="F8" s="8"/>
      <c r="G8" s="8"/>
      <c r="H8" s="8"/>
      <c r="I8" s="8"/>
      <c r="J8" s="8"/>
    </row>
    <row r="10" spans="1:10" x14ac:dyDescent="0.2">
      <c r="B10" s="7" t="s">
        <v>121</v>
      </c>
    </row>
    <row r="11" spans="1:10" x14ac:dyDescent="0.2">
      <c r="B11" t="s">
        <v>337</v>
      </c>
    </row>
    <row r="12" spans="1:10" x14ac:dyDescent="0.2">
      <c r="B12" t="s">
        <v>338</v>
      </c>
    </row>
    <row r="13" spans="1:10" x14ac:dyDescent="0.2">
      <c r="B13" t="s">
        <v>339</v>
      </c>
    </row>
    <row r="15" spans="1:10" x14ac:dyDescent="0.2">
      <c r="B15" t="s">
        <v>416</v>
      </c>
    </row>
    <row r="16" spans="1:10" x14ac:dyDescent="0.2">
      <c r="B16" t="s">
        <v>340</v>
      </c>
    </row>
    <row r="18" spans="2:10" x14ac:dyDescent="0.2">
      <c r="B18" t="s">
        <v>124</v>
      </c>
    </row>
    <row r="19" spans="2:10" x14ac:dyDescent="0.2">
      <c r="B19" t="s">
        <v>125</v>
      </c>
    </row>
    <row r="20" spans="2:10" x14ac:dyDescent="0.2">
      <c r="B20" t="s">
        <v>13</v>
      </c>
    </row>
    <row r="21" spans="2:10" x14ac:dyDescent="0.2">
      <c r="B21" t="s">
        <v>126</v>
      </c>
    </row>
    <row r="23" spans="2:10" x14ac:dyDescent="0.2">
      <c r="B23" s="7" t="s">
        <v>240</v>
      </c>
    </row>
    <row r="24" spans="2:10" ht="13.5" thickBot="1" x14ac:dyDescent="0.25"/>
    <row r="25" spans="2:10" ht="13.5" thickBot="1" x14ac:dyDescent="0.25">
      <c r="B25" s="7" t="s">
        <v>207</v>
      </c>
      <c r="H25" s="47">
        <v>14542</v>
      </c>
      <c r="I25" t="s">
        <v>212</v>
      </c>
      <c r="J25" t="s">
        <v>341</v>
      </c>
    </row>
    <row r="26" spans="2:10" ht="13.5" thickBot="1" x14ac:dyDescent="0.25">
      <c r="B26" s="7" t="s">
        <v>208</v>
      </c>
      <c r="H26" s="24">
        <v>9306</v>
      </c>
      <c r="I26" t="s">
        <v>213</v>
      </c>
      <c r="J26" t="s">
        <v>342</v>
      </c>
    </row>
    <row r="27" spans="2:10" ht="13.5" thickBot="1" x14ac:dyDescent="0.25">
      <c r="B27" s="7" t="s">
        <v>209</v>
      </c>
      <c r="H27" s="24">
        <v>2181</v>
      </c>
      <c r="I27" t="s">
        <v>214</v>
      </c>
    </row>
    <row r="28" spans="2:10" ht="13.5" thickBot="1" x14ac:dyDescent="0.25">
      <c r="B28" s="7" t="s">
        <v>210</v>
      </c>
      <c r="H28" s="24">
        <v>2908</v>
      </c>
      <c r="I28" t="s">
        <v>215</v>
      </c>
    </row>
    <row r="29" spans="2:10" ht="13.5" thickBot="1" x14ac:dyDescent="0.25">
      <c r="B29" s="7" t="s">
        <v>211</v>
      </c>
      <c r="H29" s="24">
        <v>145</v>
      </c>
      <c r="I29" t="s">
        <v>216</v>
      </c>
    </row>
    <row r="32" spans="2:10" x14ac:dyDescent="0.2">
      <c r="B32" s="7" t="s">
        <v>195</v>
      </c>
    </row>
    <row r="33" spans="2:10" x14ac:dyDescent="0.2">
      <c r="B33" t="s">
        <v>343</v>
      </c>
    </row>
    <row r="35" spans="2:10" ht="13.5" thickBot="1" x14ac:dyDescent="0.25">
      <c r="E35" s="49" t="s">
        <v>218</v>
      </c>
    </row>
    <row r="36" spans="2:10" ht="13.5" thickBot="1" x14ac:dyDescent="0.25">
      <c r="B36" s="7" t="s">
        <v>231</v>
      </c>
      <c r="E36" s="53">
        <v>4</v>
      </c>
      <c r="F36" s="52"/>
      <c r="H36" s="24">
        <v>3.5</v>
      </c>
      <c r="I36" t="s">
        <v>196</v>
      </c>
    </row>
    <row r="37" spans="2:10" ht="13.5" thickBot="1" x14ac:dyDescent="0.25">
      <c r="B37" s="7" t="s">
        <v>344</v>
      </c>
      <c r="E37" s="51" t="s">
        <v>129</v>
      </c>
      <c r="F37" s="52"/>
      <c r="H37" s="24">
        <v>182</v>
      </c>
      <c r="I37" t="s">
        <v>197</v>
      </c>
      <c r="J37" t="s">
        <v>346</v>
      </c>
    </row>
    <row r="38" spans="2:10" ht="13.5" thickBot="1" x14ac:dyDescent="0.25">
      <c r="B38" s="7" t="s">
        <v>199</v>
      </c>
      <c r="E38" s="48" t="s">
        <v>130</v>
      </c>
      <c r="F38" s="50"/>
      <c r="H38" s="54">
        <v>0.3</v>
      </c>
      <c r="I38" t="s">
        <v>198</v>
      </c>
      <c r="J38" t="s">
        <v>347</v>
      </c>
    </row>
    <row r="39" spans="2:10" x14ac:dyDescent="0.2">
      <c r="G39" s="5"/>
      <c r="J39" t="s">
        <v>345</v>
      </c>
    </row>
    <row r="40" spans="2:10" x14ac:dyDescent="0.2">
      <c r="G40" s="5"/>
      <c r="J40" s="7" t="s">
        <v>201</v>
      </c>
    </row>
    <row r="41" spans="2:10" ht="13.5" thickBot="1" x14ac:dyDescent="0.25"/>
    <row r="42" spans="2:10" ht="13.5" thickBot="1" x14ac:dyDescent="0.25">
      <c r="B42" s="7" t="s">
        <v>200</v>
      </c>
      <c r="H42" s="28">
        <f>RTM*EPM/GNO</f>
        <v>15.6</v>
      </c>
      <c r="I42" t="s">
        <v>202</v>
      </c>
    </row>
    <row r="43" spans="2:10" x14ac:dyDescent="0.2">
      <c r="H43" s="7" t="s">
        <v>349</v>
      </c>
    </row>
    <row r="45" spans="2:10" x14ac:dyDescent="0.2">
      <c r="B45" s="7" t="s">
        <v>219</v>
      </c>
    </row>
    <row r="46" spans="2:10" ht="13.5" thickBot="1" x14ac:dyDescent="0.25">
      <c r="B46" t="s">
        <v>348</v>
      </c>
    </row>
    <row r="47" spans="2:10" ht="13.5" thickBot="1" x14ac:dyDescent="0.25">
      <c r="B47" s="7" t="s">
        <v>229</v>
      </c>
      <c r="H47" s="24">
        <v>182</v>
      </c>
      <c r="I47" t="s">
        <v>221</v>
      </c>
      <c r="J47" t="s">
        <v>350</v>
      </c>
    </row>
    <row r="48" spans="2:10" ht="13.5" thickBot="1" x14ac:dyDescent="0.25">
      <c r="B48" s="7" t="s">
        <v>200</v>
      </c>
      <c r="H48" s="28">
        <f>RTMP*0.15</f>
        <v>27.3</v>
      </c>
      <c r="I48" t="s">
        <v>223</v>
      </c>
    </row>
    <row r="49" spans="2:12" x14ac:dyDescent="0.2">
      <c r="H49" s="7" t="s">
        <v>349</v>
      </c>
    </row>
    <row r="52" spans="2:12" x14ac:dyDescent="0.2">
      <c r="B52" s="7" t="s">
        <v>227</v>
      </c>
    </row>
    <row r="53" spans="2:12" ht="13.5" thickBot="1" x14ac:dyDescent="0.25">
      <c r="B53" t="s">
        <v>348</v>
      </c>
    </row>
    <row r="54" spans="2:12" ht="13.5" thickBot="1" x14ac:dyDescent="0.25">
      <c r="B54" s="7" t="s">
        <v>231</v>
      </c>
      <c r="H54" s="24">
        <v>40</v>
      </c>
      <c r="I54" t="s">
        <v>230</v>
      </c>
      <c r="J54">
        <f>IF(CVGN&lt;15.5,0.6,IF(CVGN&gt;15.5,1))</f>
        <v>1</v>
      </c>
      <c r="K54" t="s">
        <v>233</v>
      </c>
      <c r="L54" t="s">
        <v>351</v>
      </c>
    </row>
    <row r="55" spans="2:12" ht="13.5" thickBot="1" x14ac:dyDescent="0.25">
      <c r="B55" s="7" t="s">
        <v>220</v>
      </c>
      <c r="H55" s="24">
        <v>182</v>
      </c>
      <c r="I55" t="s">
        <v>228</v>
      </c>
      <c r="J55" t="s">
        <v>350</v>
      </c>
    </row>
    <row r="56" spans="2:12" ht="13.5" thickBot="1" x14ac:dyDescent="0.25">
      <c r="B56" s="7" t="s">
        <v>200</v>
      </c>
      <c r="H56" s="55">
        <f>IF(CVGN=0,0,IF(CVGN&gt;0,(RTMC*SPE/CVGN)))</f>
        <v>4.55</v>
      </c>
      <c r="I56" t="s">
        <v>232</v>
      </c>
    </row>
    <row r="57" spans="2:12" x14ac:dyDescent="0.2">
      <c r="H57" s="7" t="s">
        <v>349</v>
      </c>
    </row>
    <row r="58" spans="2:12" ht="13.5" thickBot="1" x14ac:dyDescent="0.25"/>
    <row r="59" spans="2:12" ht="13.5" thickBot="1" x14ac:dyDescent="0.25">
      <c r="B59" s="7" t="s">
        <v>242</v>
      </c>
      <c r="H59" s="23">
        <f>SAPH*NBC+SAPT*NBPT+SACV*NBCC+NBOM*0.02</f>
        <v>217949.2</v>
      </c>
      <c r="I59" t="s">
        <v>241</v>
      </c>
    </row>
    <row r="60" spans="2:12" x14ac:dyDescent="0.2">
      <c r="H60" t="s">
        <v>359</v>
      </c>
    </row>
  </sheetData>
  <customSheetViews>
    <customSheetView guid="{5DDB5E46-F5AF-4025-A0A8-B64361C1F352}" topLeftCell="A33">
      <selection activeCell="B25" sqref="B25:P61"/>
      <pageMargins left="0.75" right="0.75" top="1" bottom="1" header="0.5" footer="0.5"/>
      <pageSetup paperSize="9" scale="70" orientation="landscape" r:id="rId1"/>
      <headerFooter alignWithMargins="0"/>
    </customSheetView>
    <customSheetView guid="{7F8786F5-02F7-433D-98AC-0C6AE08AD9EF}" showRuler="0" topLeftCell="A17">
      <selection activeCell="F72" sqref="F72"/>
      <pageMargins left="0.75" right="0.75" top="1" bottom="1" header="0.5" footer="0.5"/>
      <pageSetup paperSize="9" scale="70" orientation="landscape" r:id="rId2"/>
      <headerFooter alignWithMargins="0"/>
    </customSheetView>
  </customSheetViews>
  <phoneticPr fontId="2" type="noConversion"/>
  <pageMargins left="0.75" right="0.75" top="1" bottom="1" header="0.5" footer="0.5"/>
  <pageSetup paperSize="9" scale="70" orientation="landscape" r:id="rId3"/>
  <headerFooter alignWithMargins="0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165</vt:i4>
      </vt:variant>
    </vt:vector>
  </HeadingPairs>
  <TitlesOfParts>
    <vt:vector size="175" baseType="lpstr">
      <vt:lpstr>OVERALL</vt:lpstr>
      <vt:lpstr>acronyms</vt:lpstr>
      <vt:lpstr>QUICK</vt:lpstr>
      <vt:lpstr>CAPITAL</vt:lpstr>
      <vt:lpstr>BUILDINGS</vt:lpstr>
      <vt:lpstr>OP.TRANSPORT</vt:lpstr>
      <vt:lpstr>GOODS</vt:lpstr>
      <vt:lpstr>COMMUTING</vt:lpstr>
      <vt:lpstr>VISITOR TRANSP</vt:lpstr>
      <vt:lpstr>CALCULATION SHEET</vt:lpstr>
      <vt:lpstr>_ANM1</vt:lpstr>
      <vt:lpstr>_ANM2</vt:lpstr>
      <vt:lpstr>_ANM3</vt:lpstr>
      <vt:lpstr>_ANM4</vt:lpstr>
      <vt:lpstr>_ANM5</vt:lpstr>
      <vt:lpstr>_ANM6</vt:lpstr>
      <vt:lpstr>_ANM7</vt:lpstr>
      <vt:lpstr>_ANM8</vt:lpstr>
      <vt:lpstr>_ANM9</vt:lpstr>
      <vt:lpstr>_CAC2</vt:lpstr>
      <vt:lpstr>_CAC3</vt:lpstr>
      <vt:lpstr>_CAC4</vt:lpstr>
      <vt:lpstr>_CAO2</vt:lpstr>
      <vt:lpstr>_CAO3</vt:lpstr>
      <vt:lpstr>_CAO4</vt:lpstr>
      <vt:lpstr>_CBB2</vt:lpstr>
      <vt:lpstr>_CBB3</vt:lpstr>
      <vt:lpstr>_CBB4</vt:lpstr>
      <vt:lpstr>_CBP2</vt:lpstr>
      <vt:lpstr>_CBP3</vt:lpstr>
      <vt:lpstr>_CBP4</vt:lpstr>
      <vt:lpstr>_CBT2</vt:lpstr>
      <vt:lpstr>_CBT3</vt:lpstr>
      <vt:lpstr>_CBT4</vt:lpstr>
      <vt:lpstr>_CEQ2</vt:lpstr>
      <vt:lpstr>_CEQ3</vt:lpstr>
      <vt:lpstr>_CEQ4</vt:lpstr>
      <vt:lpstr>_COM1</vt:lpstr>
      <vt:lpstr>_COM10</vt:lpstr>
      <vt:lpstr>_COM2</vt:lpstr>
      <vt:lpstr>_COM3</vt:lpstr>
      <vt:lpstr>_COM4</vt:lpstr>
      <vt:lpstr>_COM5</vt:lpstr>
      <vt:lpstr>_COM6</vt:lpstr>
      <vt:lpstr>_COM7</vt:lpstr>
      <vt:lpstr>_COM8</vt:lpstr>
      <vt:lpstr>_COM9</vt:lpstr>
      <vt:lpstr>_ELT1</vt:lpstr>
      <vt:lpstr>_MGT1</vt:lpstr>
      <vt:lpstr>_MOD1</vt:lpstr>
      <vt:lpstr>_MOD2</vt:lpstr>
      <vt:lpstr>_MOD3</vt:lpstr>
      <vt:lpstr>_MPG1</vt:lpstr>
      <vt:lpstr>_MPG2</vt:lpstr>
      <vt:lpstr>_MPG3</vt:lpstr>
      <vt:lpstr>_MPG4</vt:lpstr>
      <vt:lpstr>_MPG5</vt:lpstr>
      <vt:lpstr>_MPG6</vt:lpstr>
      <vt:lpstr>_MPG7</vt:lpstr>
      <vt:lpstr>_MPG8</vt:lpstr>
      <vt:lpstr>_MPG9</vt:lpstr>
      <vt:lpstr>_OC1</vt:lpstr>
      <vt:lpstr>_OC2</vt:lpstr>
      <vt:lpstr>_OET1</vt:lpstr>
      <vt:lpstr>_OET2</vt:lpstr>
      <vt:lpstr>_OET3</vt:lpstr>
      <vt:lpstr>_OET4</vt:lpstr>
      <vt:lpstr>_RD11</vt:lpstr>
      <vt:lpstr>_RD2</vt:lpstr>
      <vt:lpstr>_RD3</vt:lpstr>
      <vt:lpstr>_TOT1</vt:lpstr>
      <vt:lpstr>_TOT2</vt:lpstr>
      <vt:lpstr>_VF1</vt:lpstr>
      <vt:lpstr>AEB</vt:lpstr>
      <vt:lpstr>AEBR</vt:lpstr>
      <vt:lpstr>AGB</vt:lpstr>
      <vt:lpstr>AGBR</vt:lpstr>
      <vt:lpstr>ANV</vt:lpstr>
      <vt:lpstr>BGT</vt:lpstr>
      <vt:lpstr>CAC</vt:lpstr>
      <vt:lpstr>CAO</vt:lpstr>
      <vt:lpstr>CBB</vt:lpstr>
      <vt:lpstr>CBP</vt:lpstr>
      <vt:lpstr>CBT</vt:lpstr>
      <vt:lpstr>CCM</vt:lpstr>
      <vt:lpstr>CEQ</vt:lpstr>
      <vt:lpstr>CIT</vt:lpstr>
      <vt:lpstr>CMO</vt:lpstr>
      <vt:lpstr>CMOR</vt:lpstr>
      <vt:lpstr>COMR</vt:lpstr>
      <vt:lpstr>COMTOT</vt:lpstr>
      <vt:lpstr>CTY</vt:lpstr>
      <vt:lpstr>CVGN</vt:lpstr>
      <vt:lpstr>DWA</vt:lpstr>
      <vt:lpstr>ECVI</vt:lpstr>
      <vt:lpstr>EMF</vt:lpstr>
      <vt:lpstr>EMFD</vt:lpstr>
      <vt:lpstr>EMFO</vt:lpstr>
      <vt:lpstr>EPI</vt:lpstr>
      <vt:lpstr>EPM</vt:lpstr>
      <vt:lpstr>ETC</vt:lpstr>
      <vt:lpstr>ETP</vt:lpstr>
      <vt:lpstr>FOT</vt:lpstr>
      <vt:lpstr>GNO</vt:lpstr>
      <vt:lpstr>GTOT</vt:lpstr>
      <vt:lpstr>GTTL</vt:lpstr>
      <vt:lpstr>LBL</vt:lpstr>
      <vt:lpstr>LBLE</vt:lpstr>
      <vt:lpstr>LBLF</vt:lpstr>
      <vt:lpstr>LDB</vt:lpstr>
      <vt:lpstr>LDBE</vt:lpstr>
      <vt:lpstr>LDBF</vt:lpstr>
      <vt:lpstr>LDT</vt:lpstr>
      <vt:lpstr>LDTE</vt:lpstr>
      <vt:lpstr>LDTF</vt:lpstr>
      <vt:lpstr>LHF</vt:lpstr>
      <vt:lpstr>LHFE</vt:lpstr>
      <vt:lpstr>LHFF</vt:lpstr>
      <vt:lpstr>LPGT</vt:lpstr>
      <vt:lpstr>LTL</vt:lpstr>
      <vt:lpstr>LTLE</vt:lpstr>
      <vt:lpstr>LTLF</vt:lpstr>
      <vt:lpstr>MCV</vt:lpstr>
      <vt:lpstr>MCVR</vt:lpstr>
      <vt:lpstr>MHF</vt:lpstr>
      <vt:lpstr>MHFE</vt:lpstr>
      <vt:lpstr>MHFF</vt:lpstr>
      <vt:lpstr>MOD1R</vt:lpstr>
      <vt:lpstr>MOD2R</vt:lpstr>
      <vt:lpstr>MOD3R</vt:lpstr>
      <vt:lpstr>MVT</vt:lpstr>
      <vt:lpstr>NBC</vt:lpstr>
      <vt:lpstr>NBCC</vt:lpstr>
      <vt:lpstr>NBOM</vt:lpstr>
      <vt:lpstr>NBPT</vt:lpstr>
      <vt:lpstr>OPER</vt:lpstr>
      <vt:lpstr>OPTR</vt:lpstr>
      <vt:lpstr>OSF</vt:lpstr>
      <vt:lpstr>OST</vt:lpstr>
      <vt:lpstr>OVT</vt:lpstr>
      <vt:lpstr>PBC</vt:lpstr>
      <vt:lpstr>PCF</vt:lpstr>
      <vt:lpstr>QUICK!Print_Area</vt:lpstr>
      <vt:lpstr>RTM</vt:lpstr>
      <vt:lpstr>RTMC</vt:lpstr>
      <vt:lpstr>RTMP</vt:lpstr>
      <vt:lpstr>SACV</vt:lpstr>
      <vt:lpstr>SAPH</vt:lpstr>
      <vt:lpstr>SAPT</vt:lpstr>
      <vt:lpstr>SBL</vt:lpstr>
      <vt:lpstr>SHF</vt:lpstr>
      <vt:lpstr>SHFE</vt:lpstr>
      <vt:lpstr>SHFF</vt:lpstr>
      <vt:lpstr>SPE</vt:lpstr>
      <vt:lpstr>TAF</vt:lpstr>
      <vt:lpstr>TCM</vt:lpstr>
      <vt:lpstr>TCMI</vt:lpstr>
      <vt:lpstr>TCMR</vt:lpstr>
      <vt:lpstr>TFA</vt:lpstr>
      <vt:lpstr>TOTE</vt:lpstr>
      <vt:lpstr>TOTR</vt:lpstr>
      <vt:lpstr>TOTVT</vt:lpstr>
      <vt:lpstr>TSPT</vt:lpstr>
      <vt:lpstr>TVTR</vt:lpstr>
      <vt:lpstr>VLHF</vt:lpstr>
      <vt:lpstr>VLHFE</vt:lpstr>
      <vt:lpstr>VLHFF</vt:lpstr>
      <vt:lpstr>VTCR</vt:lpstr>
      <vt:lpstr>VTPR</vt:lpstr>
      <vt:lpstr>WTA</vt:lpstr>
      <vt:lpstr>WTAR</vt:lpstr>
      <vt:lpstr>WTC</vt:lpstr>
      <vt:lpstr>WTCR</vt:lpstr>
      <vt:lpstr>WTP</vt:lpstr>
      <vt:lpstr>WTPR</vt:lpstr>
    </vt:vector>
  </TitlesOfParts>
  <Company>CAT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Harper</dc:creator>
  <cp:lastModifiedBy>Peter Harper</cp:lastModifiedBy>
  <cp:lastPrinted>2008-01-25T15:38:08Z</cp:lastPrinted>
  <dcterms:created xsi:type="dcterms:W3CDTF">2007-12-20T20:01:39Z</dcterms:created>
  <dcterms:modified xsi:type="dcterms:W3CDTF">2014-11-01T15:40:10Z</dcterms:modified>
</cp:coreProperties>
</file>